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580" windowHeight="6540" tabRatio="595"/>
  </bookViews>
  <sheets>
    <sheet name="enero" sheetId="70" r:id="rId1"/>
    <sheet name="feb" sheetId="71" r:id="rId2"/>
    <sheet name="marzo" sheetId="72" r:id="rId3"/>
    <sheet name="abril" sheetId="73" r:id="rId4"/>
    <sheet name="MAYO" sheetId="74" r:id="rId5"/>
    <sheet name="JUNIO" sheetId="75" r:id="rId6"/>
    <sheet name="PPTO ACUM A JUNIO" sheetId="68" r:id="rId7"/>
  </sheets>
  <definedNames>
    <definedName name="_xlnm.Print_Area" localSheetId="3">abril!$A$1:$W$60</definedName>
    <definedName name="_xlnm.Print_Area" localSheetId="0">enero!$A$1:$V$59</definedName>
    <definedName name="_xlnm.Print_Area" localSheetId="1">feb!$A$1:$U$59</definedName>
    <definedName name="_xlnm.Print_Area" localSheetId="5">JUNIO!$A$1:$W$61</definedName>
    <definedName name="_xlnm.Print_Area" localSheetId="2">marzo!$A$1:$U$59</definedName>
    <definedName name="_xlnm.Print_Area" localSheetId="4">MAYO!$A$1:$U$59</definedName>
    <definedName name="_xlnm.Print_Area" localSheetId="6">'PPTO ACUM A JUNIO'!$A$1:$Z$61</definedName>
  </definedNames>
  <calcPr calcId="124519"/>
</workbook>
</file>

<file path=xl/calcChain.xml><?xml version="1.0" encoding="utf-8"?>
<calcChain xmlns="http://schemas.openxmlformats.org/spreadsheetml/2006/main">
  <c r="R16" i="68"/>
  <c r="T16"/>
  <c r="W50"/>
  <c r="V50"/>
  <c r="W48"/>
  <c r="V48"/>
  <c r="W46"/>
  <c r="V46"/>
  <c r="W44"/>
  <c r="V44"/>
  <c r="W43"/>
  <c r="V43"/>
  <c r="X43"/>
  <c r="W41"/>
  <c r="V41"/>
  <c r="W40"/>
  <c r="V40"/>
  <c r="W38"/>
  <c r="V38"/>
  <c r="W37"/>
  <c r="V37"/>
  <c r="W35"/>
  <c r="V35"/>
  <c r="W34"/>
  <c r="V34"/>
  <c r="W33"/>
  <c r="V33"/>
  <c r="W31"/>
  <c r="V31"/>
  <c r="W30"/>
  <c r="V30"/>
  <c r="W29"/>
  <c r="V29"/>
  <c r="W28"/>
  <c r="V28"/>
  <c r="W27"/>
  <c r="V27"/>
  <c r="V11"/>
  <c r="W11"/>
  <c r="V12"/>
  <c r="W12"/>
  <c r="V13"/>
  <c r="W13"/>
  <c r="V14"/>
  <c r="W14"/>
  <c r="V15"/>
  <c r="W15"/>
  <c r="V16"/>
  <c r="W16"/>
  <c r="V17"/>
  <c r="W17"/>
  <c r="V18"/>
  <c r="W18"/>
  <c r="V19"/>
  <c r="W19"/>
  <c r="V20"/>
  <c r="W20"/>
  <c r="V21"/>
  <c r="W21"/>
  <c r="V22"/>
  <c r="W22"/>
  <c r="V23"/>
  <c r="W23"/>
  <c r="V24"/>
  <c r="W24"/>
  <c r="V25"/>
  <c r="W25"/>
  <c r="W10"/>
  <c r="V10"/>
  <c r="D25"/>
  <c r="D24"/>
  <c r="D23"/>
  <c r="D22"/>
  <c r="D21"/>
  <c r="D20"/>
  <c r="D19"/>
  <c r="D18"/>
  <c r="D17"/>
  <c r="D16"/>
  <c r="D15"/>
  <c r="D14"/>
  <c r="D13"/>
  <c r="D12"/>
  <c r="D11"/>
  <c r="D10"/>
  <c r="N16" i="75"/>
  <c r="N15"/>
  <c r="O13"/>
  <c r="O13" i="74"/>
  <c r="F51" i="75" l="1"/>
  <c r="E51"/>
  <c r="D51"/>
  <c r="C51"/>
  <c r="V49"/>
  <c r="U49"/>
  <c r="M49"/>
  <c r="K49"/>
  <c r="J49"/>
  <c r="I49"/>
  <c r="H49"/>
  <c r="G49"/>
  <c r="V47"/>
  <c r="U47"/>
  <c r="M47"/>
  <c r="K47"/>
  <c r="J47"/>
  <c r="I47"/>
  <c r="H47"/>
  <c r="G47"/>
  <c r="V45"/>
  <c r="U45"/>
  <c r="S51"/>
  <c r="M45"/>
  <c r="K45"/>
  <c r="J45"/>
  <c r="I45"/>
  <c r="H45"/>
  <c r="G45"/>
  <c r="V43"/>
  <c r="U43"/>
  <c r="P43"/>
  <c r="N43"/>
  <c r="M43"/>
  <c r="K43"/>
  <c r="J43"/>
  <c r="I43"/>
  <c r="H43"/>
  <c r="G43"/>
  <c r="V42"/>
  <c r="U42"/>
  <c r="O42"/>
  <c r="M42"/>
  <c r="K42"/>
  <c r="J42"/>
  <c r="I42"/>
  <c r="H42"/>
  <c r="G42"/>
  <c r="V40"/>
  <c r="U40"/>
  <c r="O40"/>
  <c r="M40"/>
  <c r="K40"/>
  <c r="J40"/>
  <c r="I40"/>
  <c r="H40"/>
  <c r="G40"/>
  <c r="V39"/>
  <c r="U39"/>
  <c r="P39"/>
  <c r="M39"/>
  <c r="K39"/>
  <c r="J39"/>
  <c r="I39"/>
  <c r="H39"/>
  <c r="G39"/>
  <c r="V37"/>
  <c r="U37"/>
  <c r="P37"/>
  <c r="P51" s="1"/>
  <c r="N37"/>
  <c r="M37"/>
  <c r="K37"/>
  <c r="J37"/>
  <c r="I37"/>
  <c r="H37"/>
  <c r="G37"/>
  <c r="V36"/>
  <c r="U36"/>
  <c r="O36"/>
  <c r="M36"/>
  <c r="K36"/>
  <c r="J36"/>
  <c r="I36"/>
  <c r="H36"/>
  <c r="G36"/>
  <c r="V34"/>
  <c r="U34"/>
  <c r="M34"/>
  <c r="K34"/>
  <c r="J34"/>
  <c r="I34"/>
  <c r="H34"/>
  <c r="G34"/>
  <c r="V33"/>
  <c r="U33"/>
  <c r="P33"/>
  <c r="N33"/>
  <c r="M33"/>
  <c r="K33"/>
  <c r="J33"/>
  <c r="I33"/>
  <c r="H33"/>
  <c r="G33"/>
  <c r="V32"/>
  <c r="U32"/>
  <c r="O32"/>
  <c r="M32"/>
  <c r="K32"/>
  <c r="J32"/>
  <c r="I32"/>
  <c r="H32"/>
  <c r="G32"/>
  <c r="V30"/>
  <c r="U30"/>
  <c r="N30"/>
  <c r="M30"/>
  <c r="K30"/>
  <c r="J30"/>
  <c r="I30"/>
  <c r="H30"/>
  <c r="G30"/>
  <c r="V29"/>
  <c r="U29"/>
  <c r="O29"/>
  <c r="O51" s="1"/>
  <c r="M29"/>
  <c r="K29"/>
  <c r="J29"/>
  <c r="I29"/>
  <c r="H29"/>
  <c r="G29"/>
  <c r="V28"/>
  <c r="U28"/>
  <c r="M28"/>
  <c r="K28"/>
  <c r="J28"/>
  <c r="I28"/>
  <c r="H28"/>
  <c r="G28"/>
  <c r="V27"/>
  <c r="U27"/>
  <c r="N27"/>
  <c r="M27"/>
  <c r="K27"/>
  <c r="J27"/>
  <c r="I27"/>
  <c r="H27"/>
  <c r="G27"/>
  <c r="V26"/>
  <c r="U26"/>
  <c r="P26"/>
  <c r="M26"/>
  <c r="K26"/>
  <c r="J26"/>
  <c r="I26"/>
  <c r="H26"/>
  <c r="G26"/>
  <c r="V24"/>
  <c r="U24"/>
  <c r="M24"/>
  <c r="K24"/>
  <c r="J24"/>
  <c r="I24"/>
  <c r="H24"/>
  <c r="G24"/>
  <c r="V23"/>
  <c r="U23"/>
  <c r="M23"/>
  <c r="K23"/>
  <c r="J23"/>
  <c r="I23"/>
  <c r="H23"/>
  <c r="G23"/>
  <c r="V22"/>
  <c r="U22"/>
  <c r="Q51"/>
  <c r="M22"/>
  <c r="K22"/>
  <c r="J22"/>
  <c r="I22"/>
  <c r="H22"/>
  <c r="G22"/>
  <c r="V21"/>
  <c r="U21"/>
  <c r="M21"/>
  <c r="K21"/>
  <c r="J21"/>
  <c r="I21"/>
  <c r="H21"/>
  <c r="G21"/>
  <c r="V20"/>
  <c r="U20"/>
  <c r="M20"/>
  <c r="K20"/>
  <c r="J20"/>
  <c r="I20"/>
  <c r="H20"/>
  <c r="G20"/>
  <c r="V19"/>
  <c r="U19"/>
  <c r="M19"/>
  <c r="K19"/>
  <c r="J19"/>
  <c r="I19"/>
  <c r="H19"/>
  <c r="G19"/>
  <c r="V18"/>
  <c r="U18"/>
  <c r="M18"/>
  <c r="K18"/>
  <c r="J18"/>
  <c r="I18"/>
  <c r="H18"/>
  <c r="G18"/>
  <c r="V17"/>
  <c r="U17"/>
  <c r="M17"/>
  <c r="K17"/>
  <c r="J17"/>
  <c r="I17"/>
  <c r="H17"/>
  <c r="G17"/>
  <c r="V16"/>
  <c r="U16"/>
  <c r="M16"/>
  <c r="K16"/>
  <c r="J16"/>
  <c r="I16"/>
  <c r="H16"/>
  <c r="G16"/>
  <c r="V15"/>
  <c r="U15"/>
  <c r="M15"/>
  <c r="J15"/>
  <c r="I15"/>
  <c r="H15"/>
  <c r="G15"/>
  <c r="V14"/>
  <c r="U14"/>
  <c r="M14"/>
  <c r="K14"/>
  <c r="J14"/>
  <c r="I14"/>
  <c r="H14"/>
  <c r="G14"/>
  <c r="V13"/>
  <c r="U13"/>
  <c r="M13"/>
  <c r="K13"/>
  <c r="J13"/>
  <c r="I13"/>
  <c r="H13"/>
  <c r="G13"/>
  <c r="V12"/>
  <c r="U12"/>
  <c r="M12"/>
  <c r="K12"/>
  <c r="J12"/>
  <c r="I12"/>
  <c r="H12"/>
  <c r="G12"/>
  <c r="V11"/>
  <c r="U11"/>
  <c r="M11"/>
  <c r="K11"/>
  <c r="J11"/>
  <c r="I11"/>
  <c r="H11"/>
  <c r="G11"/>
  <c r="V10"/>
  <c r="U10"/>
  <c r="M10"/>
  <c r="K10"/>
  <c r="J10"/>
  <c r="I10"/>
  <c r="H10"/>
  <c r="G10"/>
  <c r="V9"/>
  <c r="U9"/>
  <c r="M9"/>
  <c r="K9"/>
  <c r="K51" s="1"/>
  <c r="J9"/>
  <c r="I9"/>
  <c r="H9"/>
  <c r="G9"/>
  <c r="G51" s="1"/>
  <c r="N51" l="1"/>
  <c r="H51"/>
  <c r="M51"/>
  <c r="J51"/>
  <c r="V51"/>
  <c r="U51"/>
  <c r="I51"/>
  <c r="F51" i="74" l="1"/>
  <c r="E51"/>
  <c r="D51"/>
  <c r="C51"/>
  <c r="T49"/>
  <c r="M49"/>
  <c r="K49"/>
  <c r="J49"/>
  <c r="I49"/>
  <c r="H49"/>
  <c r="G49"/>
  <c r="T47"/>
  <c r="M47"/>
  <c r="K47"/>
  <c r="J47"/>
  <c r="I47"/>
  <c r="H47"/>
  <c r="G47"/>
  <c r="T45"/>
  <c r="R51"/>
  <c r="M45"/>
  <c r="K45"/>
  <c r="J45"/>
  <c r="I45"/>
  <c r="H45"/>
  <c r="G45"/>
  <c r="T43"/>
  <c r="P43"/>
  <c r="N43"/>
  <c r="M43"/>
  <c r="K43"/>
  <c r="J43"/>
  <c r="I43"/>
  <c r="H43"/>
  <c r="G43"/>
  <c r="T42"/>
  <c r="O42"/>
  <c r="M42"/>
  <c r="K42"/>
  <c r="J42"/>
  <c r="I42"/>
  <c r="H42"/>
  <c r="G42"/>
  <c r="T40"/>
  <c r="O40"/>
  <c r="M40"/>
  <c r="K40"/>
  <c r="J40"/>
  <c r="I40"/>
  <c r="H40"/>
  <c r="G40"/>
  <c r="T39"/>
  <c r="P39"/>
  <c r="M39"/>
  <c r="K39"/>
  <c r="J39"/>
  <c r="I39"/>
  <c r="H39"/>
  <c r="G39"/>
  <c r="T37"/>
  <c r="P37"/>
  <c r="N37"/>
  <c r="M37"/>
  <c r="K37"/>
  <c r="J37"/>
  <c r="I37"/>
  <c r="H37"/>
  <c r="G37"/>
  <c r="T36"/>
  <c r="O36"/>
  <c r="M36"/>
  <c r="K36"/>
  <c r="J36"/>
  <c r="I36"/>
  <c r="H36"/>
  <c r="G36"/>
  <c r="T34"/>
  <c r="M34"/>
  <c r="K34"/>
  <c r="J34"/>
  <c r="I34"/>
  <c r="H34"/>
  <c r="G34"/>
  <c r="T33"/>
  <c r="P33"/>
  <c r="N33"/>
  <c r="M33"/>
  <c r="K33"/>
  <c r="J33"/>
  <c r="I33"/>
  <c r="H33"/>
  <c r="G33"/>
  <c r="T32"/>
  <c r="O32"/>
  <c r="M32"/>
  <c r="K32"/>
  <c r="J32"/>
  <c r="I32"/>
  <c r="H32"/>
  <c r="G32"/>
  <c r="T30"/>
  <c r="N30"/>
  <c r="M30"/>
  <c r="K30"/>
  <c r="J30"/>
  <c r="I30"/>
  <c r="H30"/>
  <c r="G30"/>
  <c r="T29"/>
  <c r="O29"/>
  <c r="M29"/>
  <c r="K29"/>
  <c r="J29"/>
  <c r="I29"/>
  <c r="H29"/>
  <c r="G29"/>
  <c r="T28"/>
  <c r="M28"/>
  <c r="K28"/>
  <c r="J28"/>
  <c r="I28"/>
  <c r="H28"/>
  <c r="G28"/>
  <c r="T27"/>
  <c r="N27"/>
  <c r="M27"/>
  <c r="K27"/>
  <c r="J27"/>
  <c r="I27"/>
  <c r="H27"/>
  <c r="G27"/>
  <c r="T26"/>
  <c r="P26"/>
  <c r="M26"/>
  <c r="K26"/>
  <c r="J26"/>
  <c r="I26"/>
  <c r="H26"/>
  <c r="G26"/>
  <c r="T24"/>
  <c r="M24"/>
  <c r="K24"/>
  <c r="J24"/>
  <c r="I24"/>
  <c r="H24"/>
  <c r="G24"/>
  <c r="T23"/>
  <c r="M23"/>
  <c r="K23"/>
  <c r="J23"/>
  <c r="I23"/>
  <c r="H23"/>
  <c r="G23"/>
  <c r="T22"/>
  <c r="Q51"/>
  <c r="M22"/>
  <c r="K22"/>
  <c r="J22"/>
  <c r="I22"/>
  <c r="H22"/>
  <c r="G22"/>
  <c r="T21"/>
  <c r="M21"/>
  <c r="K21"/>
  <c r="J21"/>
  <c r="I21"/>
  <c r="H21"/>
  <c r="G21"/>
  <c r="T20"/>
  <c r="M20"/>
  <c r="K20"/>
  <c r="J20"/>
  <c r="I20"/>
  <c r="H20"/>
  <c r="G20"/>
  <c r="T19"/>
  <c r="M19"/>
  <c r="K19"/>
  <c r="J19"/>
  <c r="I19"/>
  <c r="H19"/>
  <c r="G19"/>
  <c r="T18"/>
  <c r="M18"/>
  <c r="K18"/>
  <c r="J18"/>
  <c r="I18"/>
  <c r="H18"/>
  <c r="G18"/>
  <c r="T17"/>
  <c r="M17"/>
  <c r="K17"/>
  <c r="J17"/>
  <c r="I17"/>
  <c r="H17"/>
  <c r="G17"/>
  <c r="T16"/>
  <c r="N16"/>
  <c r="M16"/>
  <c r="K16"/>
  <c r="J16"/>
  <c r="I16"/>
  <c r="H16"/>
  <c r="G16"/>
  <c r="T15"/>
  <c r="N15"/>
  <c r="M15"/>
  <c r="J15"/>
  <c r="I15"/>
  <c r="H15"/>
  <c r="G15"/>
  <c r="T14"/>
  <c r="M14"/>
  <c r="K14"/>
  <c r="J14"/>
  <c r="I14"/>
  <c r="H14"/>
  <c r="G14"/>
  <c r="T13"/>
  <c r="M13"/>
  <c r="K13"/>
  <c r="J13"/>
  <c r="I13"/>
  <c r="H13"/>
  <c r="G13"/>
  <c r="T12"/>
  <c r="M12"/>
  <c r="K12"/>
  <c r="J12"/>
  <c r="I12"/>
  <c r="H12"/>
  <c r="G12"/>
  <c r="T11"/>
  <c r="M11"/>
  <c r="K11"/>
  <c r="J11"/>
  <c r="I11"/>
  <c r="H11"/>
  <c r="G11"/>
  <c r="T10"/>
  <c r="M10"/>
  <c r="K10"/>
  <c r="J10"/>
  <c r="I10"/>
  <c r="H10"/>
  <c r="G10"/>
  <c r="T9"/>
  <c r="O51"/>
  <c r="M9"/>
  <c r="K9"/>
  <c r="J9"/>
  <c r="I9"/>
  <c r="H9"/>
  <c r="G9"/>
  <c r="Q51" i="73"/>
  <c r="F51"/>
  <c r="E51"/>
  <c r="D51"/>
  <c r="C51"/>
  <c r="V49"/>
  <c r="U49"/>
  <c r="M49"/>
  <c r="K49"/>
  <c r="J49"/>
  <c r="I49"/>
  <c r="H49"/>
  <c r="G49"/>
  <c r="V47"/>
  <c r="U47"/>
  <c r="M47"/>
  <c r="K47"/>
  <c r="J47"/>
  <c r="I47"/>
  <c r="H47"/>
  <c r="G47"/>
  <c r="V45"/>
  <c r="U45"/>
  <c r="S51"/>
  <c r="M45"/>
  <c r="K45"/>
  <c r="J45"/>
  <c r="I45"/>
  <c r="H45"/>
  <c r="G45"/>
  <c r="V43"/>
  <c r="U43"/>
  <c r="P43"/>
  <c r="N43"/>
  <c r="M43"/>
  <c r="K43"/>
  <c r="J43"/>
  <c r="I43"/>
  <c r="H43"/>
  <c r="G43"/>
  <c r="V42"/>
  <c r="U42"/>
  <c r="O42"/>
  <c r="M42"/>
  <c r="K42"/>
  <c r="J42"/>
  <c r="I42"/>
  <c r="H42"/>
  <c r="G42"/>
  <c r="V40"/>
  <c r="U40"/>
  <c r="O40"/>
  <c r="M40"/>
  <c r="K40"/>
  <c r="J40"/>
  <c r="I40"/>
  <c r="H40"/>
  <c r="G40"/>
  <c r="V39"/>
  <c r="U39"/>
  <c r="P39"/>
  <c r="M39"/>
  <c r="K39"/>
  <c r="J39"/>
  <c r="I39"/>
  <c r="H39"/>
  <c r="G39"/>
  <c r="V37"/>
  <c r="U37"/>
  <c r="P37"/>
  <c r="N37"/>
  <c r="M37"/>
  <c r="K37"/>
  <c r="J37"/>
  <c r="I37"/>
  <c r="H37"/>
  <c r="G37"/>
  <c r="V36"/>
  <c r="U36"/>
  <c r="O36"/>
  <c r="M36"/>
  <c r="K36"/>
  <c r="J36"/>
  <c r="I36"/>
  <c r="H36"/>
  <c r="G36"/>
  <c r="V34"/>
  <c r="U34"/>
  <c r="M34"/>
  <c r="K34"/>
  <c r="J34"/>
  <c r="I34"/>
  <c r="H34"/>
  <c r="G34"/>
  <c r="V33"/>
  <c r="U33"/>
  <c r="P33"/>
  <c r="N33"/>
  <c r="M33"/>
  <c r="K33"/>
  <c r="J33"/>
  <c r="I33"/>
  <c r="H33"/>
  <c r="G33"/>
  <c r="V32"/>
  <c r="U32"/>
  <c r="O32"/>
  <c r="M32"/>
  <c r="K32"/>
  <c r="J32"/>
  <c r="I32"/>
  <c r="H32"/>
  <c r="G32"/>
  <c r="V30"/>
  <c r="U30"/>
  <c r="N30"/>
  <c r="M30"/>
  <c r="K30"/>
  <c r="J30"/>
  <c r="I30"/>
  <c r="H30"/>
  <c r="G30"/>
  <c r="V29"/>
  <c r="U29"/>
  <c r="O29"/>
  <c r="M29"/>
  <c r="K29"/>
  <c r="J29"/>
  <c r="I29"/>
  <c r="H29"/>
  <c r="G29"/>
  <c r="V28"/>
  <c r="U28"/>
  <c r="M28"/>
  <c r="K28"/>
  <c r="J28"/>
  <c r="I28"/>
  <c r="H28"/>
  <c r="G28"/>
  <c r="V27"/>
  <c r="U27"/>
  <c r="N27"/>
  <c r="M27"/>
  <c r="K27"/>
  <c r="J27"/>
  <c r="I27"/>
  <c r="H27"/>
  <c r="G27"/>
  <c r="V26"/>
  <c r="U26"/>
  <c r="P26"/>
  <c r="M26"/>
  <c r="K26"/>
  <c r="J26"/>
  <c r="I26"/>
  <c r="H26"/>
  <c r="G26"/>
  <c r="V24"/>
  <c r="U24"/>
  <c r="M24"/>
  <c r="K24"/>
  <c r="J24"/>
  <c r="I24"/>
  <c r="H24"/>
  <c r="G24"/>
  <c r="V23"/>
  <c r="U23"/>
  <c r="M23"/>
  <c r="K23"/>
  <c r="J23"/>
  <c r="I23"/>
  <c r="H23"/>
  <c r="G23"/>
  <c r="V22"/>
  <c r="U22"/>
  <c r="M22"/>
  <c r="K22"/>
  <c r="J22"/>
  <c r="I22"/>
  <c r="H22"/>
  <c r="G22"/>
  <c r="V21"/>
  <c r="U21"/>
  <c r="M21"/>
  <c r="K21"/>
  <c r="J21"/>
  <c r="I21"/>
  <c r="H21"/>
  <c r="G21"/>
  <c r="V20"/>
  <c r="U20"/>
  <c r="M20"/>
  <c r="K20"/>
  <c r="J20"/>
  <c r="I20"/>
  <c r="H20"/>
  <c r="G20"/>
  <c r="V19"/>
  <c r="U19"/>
  <c r="M19"/>
  <c r="K19"/>
  <c r="J19"/>
  <c r="I19"/>
  <c r="H19"/>
  <c r="G19"/>
  <c r="V18"/>
  <c r="U18"/>
  <c r="P18"/>
  <c r="P51" s="1"/>
  <c r="M18"/>
  <c r="K18"/>
  <c r="J18"/>
  <c r="I18"/>
  <c r="H18"/>
  <c r="G18"/>
  <c r="V17"/>
  <c r="U17"/>
  <c r="M17"/>
  <c r="K17"/>
  <c r="J17"/>
  <c r="I17"/>
  <c r="H17"/>
  <c r="G17"/>
  <c r="V16"/>
  <c r="U16"/>
  <c r="N16"/>
  <c r="M16"/>
  <c r="K16"/>
  <c r="J16"/>
  <c r="I16"/>
  <c r="H16"/>
  <c r="G16"/>
  <c r="V15"/>
  <c r="U15"/>
  <c r="N15"/>
  <c r="M15"/>
  <c r="J15"/>
  <c r="I15"/>
  <c r="H15"/>
  <c r="G15"/>
  <c r="V14"/>
  <c r="U14"/>
  <c r="N14"/>
  <c r="M14"/>
  <c r="K14"/>
  <c r="J14"/>
  <c r="I14"/>
  <c r="H14"/>
  <c r="G14"/>
  <c r="V13"/>
  <c r="U13"/>
  <c r="N13"/>
  <c r="M13"/>
  <c r="K13"/>
  <c r="J13"/>
  <c r="I13"/>
  <c r="H13"/>
  <c r="G13"/>
  <c r="V12"/>
  <c r="U12"/>
  <c r="M12"/>
  <c r="K12"/>
  <c r="J12"/>
  <c r="I12"/>
  <c r="H12"/>
  <c r="G12"/>
  <c r="V11"/>
  <c r="U11"/>
  <c r="M11"/>
  <c r="K11"/>
  <c r="J11"/>
  <c r="I11"/>
  <c r="H11"/>
  <c r="G11"/>
  <c r="V10"/>
  <c r="U10"/>
  <c r="M10"/>
  <c r="K10"/>
  <c r="J10"/>
  <c r="I10"/>
  <c r="H10"/>
  <c r="G10"/>
  <c r="V9"/>
  <c r="V51" s="1"/>
  <c r="U9"/>
  <c r="U51" s="1"/>
  <c r="O9"/>
  <c r="O51" s="1"/>
  <c r="M9"/>
  <c r="K9"/>
  <c r="K51" s="1"/>
  <c r="J9"/>
  <c r="J51" s="1"/>
  <c r="I9"/>
  <c r="I51" s="1"/>
  <c r="H9"/>
  <c r="G9"/>
  <c r="G51" s="1"/>
  <c r="Q51" i="72"/>
  <c r="F51"/>
  <c r="E51"/>
  <c r="D51"/>
  <c r="C51"/>
  <c r="T49"/>
  <c r="M49"/>
  <c r="K49"/>
  <c r="J49"/>
  <c r="I49"/>
  <c r="H49"/>
  <c r="G49"/>
  <c r="T47"/>
  <c r="M47"/>
  <c r="K47"/>
  <c r="J47"/>
  <c r="I47"/>
  <c r="H47"/>
  <c r="G47"/>
  <c r="T45"/>
  <c r="R51"/>
  <c r="M45"/>
  <c r="K45"/>
  <c r="J45"/>
  <c r="I45"/>
  <c r="H45"/>
  <c r="G45"/>
  <c r="T43"/>
  <c r="P43"/>
  <c r="N43"/>
  <c r="M43"/>
  <c r="K43"/>
  <c r="J43"/>
  <c r="I43"/>
  <c r="H43"/>
  <c r="G43"/>
  <c r="T42"/>
  <c r="O42"/>
  <c r="M42"/>
  <c r="K42"/>
  <c r="J42"/>
  <c r="I42"/>
  <c r="H42"/>
  <c r="G42"/>
  <c r="T40"/>
  <c r="O40"/>
  <c r="M40"/>
  <c r="K40"/>
  <c r="J40"/>
  <c r="I40"/>
  <c r="H40"/>
  <c r="G40"/>
  <c r="T39"/>
  <c r="P39"/>
  <c r="M39"/>
  <c r="K39"/>
  <c r="J39"/>
  <c r="I39"/>
  <c r="H39"/>
  <c r="G39"/>
  <c r="T37"/>
  <c r="P37"/>
  <c r="N37"/>
  <c r="M37"/>
  <c r="K37"/>
  <c r="J37"/>
  <c r="I37"/>
  <c r="H37"/>
  <c r="G37"/>
  <c r="T36"/>
  <c r="O36"/>
  <c r="M36"/>
  <c r="K36"/>
  <c r="J36"/>
  <c r="I36"/>
  <c r="H36"/>
  <c r="G36"/>
  <c r="T34"/>
  <c r="M34"/>
  <c r="K34"/>
  <c r="J34"/>
  <c r="I34"/>
  <c r="H34"/>
  <c r="G34"/>
  <c r="T33"/>
  <c r="P33"/>
  <c r="N33"/>
  <c r="M33"/>
  <c r="K33"/>
  <c r="J33"/>
  <c r="I33"/>
  <c r="H33"/>
  <c r="G33"/>
  <c r="T32"/>
  <c r="O32"/>
  <c r="M32"/>
  <c r="K32"/>
  <c r="J32"/>
  <c r="I32"/>
  <c r="H32"/>
  <c r="G32"/>
  <c r="T30"/>
  <c r="N30"/>
  <c r="M30"/>
  <c r="K30"/>
  <c r="J30"/>
  <c r="I30"/>
  <c r="H30"/>
  <c r="G30"/>
  <c r="T29"/>
  <c r="O29"/>
  <c r="M29"/>
  <c r="K29"/>
  <c r="J29"/>
  <c r="I29"/>
  <c r="H29"/>
  <c r="G29"/>
  <c r="T28"/>
  <c r="M28"/>
  <c r="K28"/>
  <c r="J28"/>
  <c r="I28"/>
  <c r="H28"/>
  <c r="G28"/>
  <c r="T27"/>
  <c r="N27"/>
  <c r="M27"/>
  <c r="K27"/>
  <c r="J27"/>
  <c r="I27"/>
  <c r="H27"/>
  <c r="G27"/>
  <c r="T26"/>
  <c r="P26"/>
  <c r="M26"/>
  <c r="K26"/>
  <c r="J26"/>
  <c r="I26"/>
  <c r="H26"/>
  <c r="G26"/>
  <c r="T24"/>
  <c r="M24"/>
  <c r="K24"/>
  <c r="J24"/>
  <c r="I24"/>
  <c r="H24"/>
  <c r="G24"/>
  <c r="T23"/>
  <c r="M23"/>
  <c r="K23"/>
  <c r="J23"/>
  <c r="I23"/>
  <c r="H23"/>
  <c r="G23"/>
  <c r="T22"/>
  <c r="M22"/>
  <c r="K22"/>
  <c r="J22"/>
  <c r="I22"/>
  <c r="H22"/>
  <c r="G22"/>
  <c r="T21"/>
  <c r="M21"/>
  <c r="K21"/>
  <c r="J21"/>
  <c r="I21"/>
  <c r="H21"/>
  <c r="G21"/>
  <c r="T20"/>
  <c r="M20"/>
  <c r="K20"/>
  <c r="J20"/>
  <c r="I20"/>
  <c r="H20"/>
  <c r="G20"/>
  <c r="T19"/>
  <c r="M19"/>
  <c r="K19"/>
  <c r="J19"/>
  <c r="I19"/>
  <c r="H19"/>
  <c r="G19"/>
  <c r="T18"/>
  <c r="P18"/>
  <c r="P51" s="1"/>
  <c r="M18"/>
  <c r="K18"/>
  <c r="J18"/>
  <c r="I18"/>
  <c r="H18"/>
  <c r="G18"/>
  <c r="T17"/>
  <c r="M17"/>
  <c r="K17"/>
  <c r="J17"/>
  <c r="I17"/>
  <c r="H17"/>
  <c r="G17"/>
  <c r="T16"/>
  <c r="N16"/>
  <c r="M16"/>
  <c r="K16"/>
  <c r="J16"/>
  <c r="I16"/>
  <c r="H16"/>
  <c r="G16"/>
  <c r="T15"/>
  <c r="N15"/>
  <c r="M15"/>
  <c r="J15"/>
  <c r="I15"/>
  <c r="H15"/>
  <c r="G15"/>
  <c r="T14"/>
  <c r="N14"/>
  <c r="M14"/>
  <c r="K14"/>
  <c r="J14"/>
  <c r="I14"/>
  <c r="H14"/>
  <c r="G14"/>
  <c r="T13"/>
  <c r="N13"/>
  <c r="M13"/>
  <c r="K13"/>
  <c r="J13"/>
  <c r="I13"/>
  <c r="H13"/>
  <c r="G13"/>
  <c r="T12"/>
  <c r="M12"/>
  <c r="K12"/>
  <c r="J12"/>
  <c r="I12"/>
  <c r="H12"/>
  <c r="G12"/>
  <c r="T11"/>
  <c r="M11"/>
  <c r="K11"/>
  <c r="J11"/>
  <c r="I11"/>
  <c r="H11"/>
  <c r="G11"/>
  <c r="T10"/>
  <c r="M10"/>
  <c r="M51" s="1"/>
  <c r="K10"/>
  <c r="J10"/>
  <c r="I10"/>
  <c r="H10"/>
  <c r="H51" s="1"/>
  <c r="G10"/>
  <c r="T9"/>
  <c r="O9"/>
  <c r="O51" s="1"/>
  <c r="M9"/>
  <c r="K9"/>
  <c r="J9"/>
  <c r="I9"/>
  <c r="I51" s="1"/>
  <c r="H9"/>
  <c r="G9"/>
  <c r="F51" i="71"/>
  <c r="E51"/>
  <c r="D51"/>
  <c r="C51"/>
  <c r="T49"/>
  <c r="M49"/>
  <c r="K49"/>
  <c r="J49"/>
  <c r="I49"/>
  <c r="H49"/>
  <c r="G49"/>
  <c r="T47"/>
  <c r="M47"/>
  <c r="K47"/>
  <c r="J47"/>
  <c r="I47"/>
  <c r="H47"/>
  <c r="G47"/>
  <c r="T45"/>
  <c r="R51"/>
  <c r="M45"/>
  <c r="K45"/>
  <c r="J45"/>
  <c r="I45"/>
  <c r="H45"/>
  <c r="G45"/>
  <c r="T43"/>
  <c r="P43"/>
  <c r="N43"/>
  <c r="M43"/>
  <c r="K43"/>
  <c r="J43"/>
  <c r="I43"/>
  <c r="H43"/>
  <c r="G43"/>
  <c r="T42"/>
  <c r="O42"/>
  <c r="M42"/>
  <c r="K42"/>
  <c r="J42"/>
  <c r="I42"/>
  <c r="H42"/>
  <c r="G42"/>
  <c r="T40"/>
  <c r="O40"/>
  <c r="M40"/>
  <c r="K40"/>
  <c r="J40"/>
  <c r="I40"/>
  <c r="H40"/>
  <c r="G40"/>
  <c r="T39"/>
  <c r="P39"/>
  <c r="M39"/>
  <c r="K39"/>
  <c r="J39"/>
  <c r="I39"/>
  <c r="H39"/>
  <c r="G39"/>
  <c r="T37"/>
  <c r="P37"/>
  <c r="N37"/>
  <c r="M37"/>
  <c r="K37"/>
  <c r="J37"/>
  <c r="I37"/>
  <c r="H37"/>
  <c r="G37"/>
  <c r="T36"/>
  <c r="O36"/>
  <c r="M36"/>
  <c r="K36"/>
  <c r="J36"/>
  <c r="I36"/>
  <c r="H36"/>
  <c r="G36"/>
  <c r="T34"/>
  <c r="M34"/>
  <c r="K34"/>
  <c r="J34"/>
  <c r="I34"/>
  <c r="H34"/>
  <c r="G34"/>
  <c r="T33"/>
  <c r="P33"/>
  <c r="N33"/>
  <c r="M33"/>
  <c r="K33"/>
  <c r="J33"/>
  <c r="I33"/>
  <c r="H33"/>
  <c r="G33"/>
  <c r="T32"/>
  <c r="O32"/>
  <c r="M32"/>
  <c r="K32"/>
  <c r="J32"/>
  <c r="I32"/>
  <c r="H32"/>
  <c r="G32"/>
  <c r="T30"/>
  <c r="N30"/>
  <c r="M30"/>
  <c r="K30"/>
  <c r="J30"/>
  <c r="I30"/>
  <c r="H30"/>
  <c r="G30"/>
  <c r="T29"/>
  <c r="O29"/>
  <c r="M29"/>
  <c r="K29"/>
  <c r="J29"/>
  <c r="I29"/>
  <c r="H29"/>
  <c r="G29"/>
  <c r="T28"/>
  <c r="M28"/>
  <c r="K28"/>
  <c r="J28"/>
  <c r="I28"/>
  <c r="H28"/>
  <c r="G28"/>
  <c r="T27"/>
  <c r="N27"/>
  <c r="M27"/>
  <c r="K27"/>
  <c r="J27"/>
  <c r="I27"/>
  <c r="H27"/>
  <c r="G27"/>
  <c r="T26"/>
  <c r="P26"/>
  <c r="M26"/>
  <c r="K26"/>
  <c r="J26"/>
  <c r="I26"/>
  <c r="H26"/>
  <c r="G26"/>
  <c r="T24"/>
  <c r="M24"/>
  <c r="K24"/>
  <c r="J24"/>
  <c r="I24"/>
  <c r="H24"/>
  <c r="G24"/>
  <c r="T23"/>
  <c r="M23"/>
  <c r="K23"/>
  <c r="J23"/>
  <c r="I23"/>
  <c r="H23"/>
  <c r="G23"/>
  <c r="T22"/>
  <c r="Q51"/>
  <c r="M22"/>
  <c r="K22"/>
  <c r="J22"/>
  <c r="I22"/>
  <c r="H22"/>
  <c r="G22"/>
  <c r="T21"/>
  <c r="M21"/>
  <c r="K21"/>
  <c r="J21"/>
  <c r="I21"/>
  <c r="H21"/>
  <c r="G21"/>
  <c r="T20"/>
  <c r="M20"/>
  <c r="K20"/>
  <c r="J20"/>
  <c r="I20"/>
  <c r="H20"/>
  <c r="G20"/>
  <c r="T19"/>
  <c r="M19"/>
  <c r="K19"/>
  <c r="J19"/>
  <c r="I19"/>
  <c r="H19"/>
  <c r="G19"/>
  <c r="T18"/>
  <c r="P18"/>
  <c r="P51" s="1"/>
  <c r="M18"/>
  <c r="K18"/>
  <c r="J18"/>
  <c r="I18"/>
  <c r="H18"/>
  <c r="G18"/>
  <c r="T17"/>
  <c r="M17"/>
  <c r="K17"/>
  <c r="J17"/>
  <c r="I17"/>
  <c r="H17"/>
  <c r="G17"/>
  <c r="T16"/>
  <c r="N16"/>
  <c r="M16"/>
  <c r="K16"/>
  <c r="J16"/>
  <c r="I16"/>
  <c r="H16"/>
  <c r="G16"/>
  <c r="T15"/>
  <c r="N15"/>
  <c r="M15"/>
  <c r="J15"/>
  <c r="I15"/>
  <c r="H15"/>
  <c r="G15"/>
  <c r="T14"/>
  <c r="N14"/>
  <c r="M14"/>
  <c r="K14"/>
  <c r="J14"/>
  <c r="I14"/>
  <c r="H14"/>
  <c r="G14"/>
  <c r="T13"/>
  <c r="N13"/>
  <c r="M13"/>
  <c r="K13"/>
  <c r="J13"/>
  <c r="I13"/>
  <c r="H13"/>
  <c r="G13"/>
  <c r="T12"/>
  <c r="M12"/>
  <c r="K12"/>
  <c r="J12"/>
  <c r="I12"/>
  <c r="H12"/>
  <c r="G12"/>
  <c r="T11"/>
  <c r="M11"/>
  <c r="K11"/>
  <c r="J11"/>
  <c r="I11"/>
  <c r="H11"/>
  <c r="G11"/>
  <c r="T10"/>
  <c r="M10"/>
  <c r="K10"/>
  <c r="J10"/>
  <c r="I10"/>
  <c r="H10"/>
  <c r="G10"/>
  <c r="T9"/>
  <c r="O9"/>
  <c r="M9"/>
  <c r="K9"/>
  <c r="J9"/>
  <c r="I9"/>
  <c r="H9"/>
  <c r="G9"/>
  <c r="U49" i="70"/>
  <c r="T49"/>
  <c r="U47"/>
  <c r="T47"/>
  <c r="U45"/>
  <c r="T45"/>
  <c r="U43"/>
  <c r="T43"/>
  <c r="U42"/>
  <c r="T42"/>
  <c r="U40"/>
  <c r="T40"/>
  <c r="U39"/>
  <c r="T39"/>
  <c r="U37"/>
  <c r="T37"/>
  <c r="U36"/>
  <c r="T36"/>
  <c r="U34"/>
  <c r="T34"/>
  <c r="U33"/>
  <c r="T33"/>
  <c r="U32"/>
  <c r="T32"/>
  <c r="U30"/>
  <c r="T30"/>
  <c r="U29"/>
  <c r="T29"/>
  <c r="U28"/>
  <c r="T28"/>
  <c r="U27"/>
  <c r="T27"/>
  <c r="U26"/>
  <c r="T26"/>
  <c r="U24"/>
  <c r="T24"/>
  <c r="U23"/>
  <c r="T23"/>
  <c r="U22"/>
  <c r="T22"/>
  <c r="U21"/>
  <c r="T21"/>
  <c r="U20"/>
  <c r="T20"/>
  <c r="U19"/>
  <c r="T19"/>
  <c r="U18"/>
  <c r="T18"/>
  <c r="U17"/>
  <c r="T17"/>
  <c r="U16"/>
  <c r="T16"/>
  <c r="U15"/>
  <c r="T15"/>
  <c r="U14"/>
  <c r="T14"/>
  <c r="U13"/>
  <c r="T13"/>
  <c r="U12"/>
  <c r="T12"/>
  <c r="U11"/>
  <c r="T11"/>
  <c r="U10"/>
  <c r="T10"/>
  <c r="U9"/>
  <c r="T9"/>
  <c r="P18"/>
  <c r="N14"/>
  <c r="N13"/>
  <c r="O9"/>
  <c r="R51"/>
  <c r="F51"/>
  <c r="E51"/>
  <c r="D51"/>
  <c r="M49"/>
  <c r="K49"/>
  <c r="J49"/>
  <c r="I49"/>
  <c r="H49"/>
  <c r="G49"/>
  <c r="M47"/>
  <c r="K47"/>
  <c r="J47"/>
  <c r="I47"/>
  <c r="H47"/>
  <c r="G47"/>
  <c r="M45"/>
  <c r="K45"/>
  <c r="J45"/>
  <c r="I45"/>
  <c r="H45"/>
  <c r="G45"/>
  <c r="P43"/>
  <c r="N43"/>
  <c r="M43"/>
  <c r="K43"/>
  <c r="J43"/>
  <c r="I43"/>
  <c r="H43"/>
  <c r="G43"/>
  <c r="O42"/>
  <c r="M42"/>
  <c r="K42"/>
  <c r="J42"/>
  <c r="I42"/>
  <c r="H42"/>
  <c r="G42"/>
  <c r="O40"/>
  <c r="M40"/>
  <c r="K40"/>
  <c r="J40"/>
  <c r="I40"/>
  <c r="H40"/>
  <c r="G40"/>
  <c r="P39"/>
  <c r="M39"/>
  <c r="K39"/>
  <c r="J39"/>
  <c r="I39"/>
  <c r="H39"/>
  <c r="G39"/>
  <c r="P37"/>
  <c r="N37"/>
  <c r="M37"/>
  <c r="K37"/>
  <c r="J37"/>
  <c r="I37"/>
  <c r="H37"/>
  <c r="G37"/>
  <c r="O36"/>
  <c r="M36"/>
  <c r="K36"/>
  <c r="J36"/>
  <c r="I36"/>
  <c r="H36"/>
  <c r="G36"/>
  <c r="M34"/>
  <c r="K34"/>
  <c r="J34"/>
  <c r="I34"/>
  <c r="H34"/>
  <c r="G34"/>
  <c r="P33"/>
  <c r="N33"/>
  <c r="M33"/>
  <c r="K33"/>
  <c r="J33"/>
  <c r="I33"/>
  <c r="H33"/>
  <c r="G33"/>
  <c r="O32"/>
  <c r="M32"/>
  <c r="K32"/>
  <c r="J32"/>
  <c r="I32"/>
  <c r="H32"/>
  <c r="G32"/>
  <c r="N30"/>
  <c r="M30"/>
  <c r="K30"/>
  <c r="J30"/>
  <c r="I30"/>
  <c r="H30"/>
  <c r="G30"/>
  <c r="O29"/>
  <c r="M29"/>
  <c r="K29"/>
  <c r="J29"/>
  <c r="I29"/>
  <c r="H29"/>
  <c r="G29"/>
  <c r="M28"/>
  <c r="K28"/>
  <c r="J28"/>
  <c r="I28"/>
  <c r="H28"/>
  <c r="G28"/>
  <c r="N27"/>
  <c r="M27"/>
  <c r="K27"/>
  <c r="J27"/>
  <c r="I27"/>
  <c r="H27"/>
  <c r="G27"/>
  <c r="P26"/>
  <c r="M26"/>
  <c r="K26"/>
  <c r="J26"/>
  <c r="I26"/>
  <c r="H26"/>
  <c r="G26"/>
  <c r="M24"/>
  <c r="K24"/>
  <c r="J24"/>
  <c r="I24"/>
  <c r="H24"/>
  <c r="G24"/>
  <c r="M23"/>
  <c r="K23"/>
  <c r="J23"/>
  <c r="I23"/>
  <c r="H23"/>
  <c r="G23"/>
  <c r="Q51"/>
  <c r="M22"/>
  <c r="K22"/>
  <c r="J22"/>
  <c r="I22"/>
  <c r="H22"/>
  <c r="G22"/>
  <c r="M21"/>
  <c r="K21"/>
  <c r="J21"/>
  <c r="I21"/>
  <c r="H21"/>
  <c r="G21"/>
  <c r="M20"/>
  <c r="K20"/>
  <c r="J20"/>
  <c r="I20"/>
  <c r="H20"/>
  <c r="G20"/>
  <c r="M19"/>
  <c r="K19"/>
  <c r="J19"/>
  <c r="I19"/>
  <c r="H19"/>
  <c r="G19"/>
  <c r="M18"/>
  <c r="K18"/>
  <c r="J18"/>
  <c r="I18"/>
  <c r="H18"/>
  <c r="G18"/>
  <c r="M17"/>
  <c r="K17"/>
  <c r="J17"/>
  <c r="I17"/>
  <c r="H17"/>
  <c r="G17"/>
  <c r="N16"/>
  <c r="M16"/>
  <c r="K16"/>
  <c r="J16"/>
  <c r="I16"/>
  <c r="H16"/>
  <c r="G16"/>
  <c r="N15"/>
  <c r="M15"/>
  <c r="J15"/>
  <c r="I15"/>
  <c r="H15"/>
  <c r="G15"/>
  <c r="P51"/>
  <c r="M14"/>
  <c r="K14"/>
  <c r="J14"/>
  <c r="I14"/>
  <c r="H14"/>
  <c r="G14"/>
  <c r="M13"/>
  <c r="K13"/>
  <c r="J13"/>
  <c r="I13"/>
  <c r="H13"/>
  <c r="G13"/>
  <c r="M12"/>
  <c r="K12"/>
  <c r="J12"/>
  <c r="I12"/>
  <c r="H12"/>
  <c r="G12"/>
  <c r="M11"/>
  <c r="K11"/>
  <c r="J11"/>
  <c r="I11"/>
  <c r="H11"/>
  <c r="G11"/>
  <c r="M10"/>
  <c r="K10"/>
  <c r="J10"/>
  <c r="I10"/>
  <c r="H10"/>
  <c r="G10"/>
  <c r="U51"/>
  <c r="M9"/>
  <c r="K9"/>
  <c r="J9"/>
  <c r="I9"/>
  <c r="H9"/>
  <c r="G9"/>
  <c r="C51"/>
  <c r="T46" i="68"/>
  <c r="J51" i="71" l="1"/>
  <c r="I51"/>
  <c r="N51"/>
  <c r="M51"/>
  <c r="H51" i="74"/>
  <c r="M51"/>
  <c r="P51"/>
  <c r="H51" i="73"/>
  <c r="M51"/>
  <c r="N51"/>
  <c r="G51" i="72"/>
  <c r="K51"/>
  <c r="T51"/>
  <c r="N51"/>
  <c r="J51"/>
  <c r="H51" i="71"/>
  <c r="K51"/>
  <c r="T51"/>
  <c r="G51"/>
  <c r="O51"/>
  <c r="N51" i="70"/>
  <c r="O51"/>
  <c r="I51"/>
  <c r="J51" i="74"/>
  <c r="G51"/>
  <c r="K51"/>
  <c r="T51"/>
  <c r="I51"/>
  <c r="N51"/>
  <c r="T51" i="70"/>
  <c r="G51"/>
  <c r="K51"/>
  <c r="J51"/>
  <c r="H51"/>
  <c r="M51"/>
  <c r="Q15" i="68"/>
  <c r="P14"/>
  <c r="O22"/>
  <c r="O12"/>
  <c r="D50"/>
  <c r="D48"/>
  <c r="D46"/>
  <c r="D44"/>
  <c r="D43"/>
  <c r="D41"/>
  <c r="D40"/>
  <c r="D38"/>
  <c r="D37"/>
  <c r="D35"/>
  <c r="D34"/>
  <c r="D33"/>
  <c r="D31"/>
  <c r="D30"/>
  <c r="D29"/>
  <c r="D28"/>
  <c r="D27"/>
  <c r="R23"/>
  <c r="D52" l="1"/>
  <c r="C37"/>
  <c r="C18"/>
  <c r="C19"/>
  <c r="C27"/>
  <c r="C28"/>
  <c r="C30"/>
  <c r="C31"/>
  <c r="C33"/>
  <c r="C34"/>
  <c r="C38"/>
  <c r="C41"/>
  <c r="C40"/>
  <c r="C43"/>
  <c r="C44"/>
  <c r="C10"/>
  <c r="C16"/>
  <c r="C17"/>
  <c r="C15"/>
  <c r="C22"/>
  <c r="C14"/>
  <c r="C12"/>
  <c r="E52"/>
  <c r="E53" s="1"/>
  <c r="F52"/>
  <c r="F53" s="1"/>
  <c r="G52"/>
  <c r="R8"/>
  <c r="T8"/>
  <c r="D8"/>
  <c r="G8"/>
  <c r="N8"/>
  <c r="L8"/>
  <c r="K8"/>
  <c r="J8"/>
  <c r="I8"/>
  <c r="H8"/>
  <c r="Q44"/>
  <c r="Q40"/>
  <c r="Q38"/>
  <c r="P43"/>
  <c r="P41"/>
  <c r="O44"/>
  <c r="O38"/>
  <c r="P37"/>
  <c r="Q34"/>
  <c r="O34"/>
  <c r="P33"/>
  <c r="O31"/>
  <c r="P30"/>
  <c r="O28"/>
  <c r="Q27"/>
  <c r="G53" l="1"/>
  <c r="W52"/>
  <c r="C8"/>
  <c r="T52"/>
  <c r="T53" s="1"/>
  <c r="V52"/>
  <c r="R52"/>
  <c r="R53" s="1"/>
  <c r="Q19"/>
  <c r="P10"/>
  <c r="O16"/>
  <c r="O17"/>
  <c r="O14"/>
  <c r="O15"/>
  <c r="N50"/>
  <c r="N48"/>
  <c r="N46"/>
  <c r="N44"/>
  <c r="N43"/>
  <c r="N40"/>
  <c r="N41"/>
  <c r="N38"/>
  <c r="N37"/>
  <c r="N35"/>
  <c r="N34"/>
  <c r="N33"/>
  <c r="N31"/>
  <c r="N30"/>
  <c r="N29"/>
  <c r="N28"/>
  <c r="N27"/>
  <c r="N11"/>
  <c r="N19"/>
  <c r="N12"/>
  <c r="N20"/>
  <c r="N13"/>
  <c r="N21"/>
  <c r="N14"/>
  <c r="N22"/>
  <c r="N15"/>
  <c r="N23"/>
  <c r="N10"/>
  <c r="N16"/>
  <c r="N24"/>
  <c r="N17"/>
  <c r="N25"/>
  <c r="L50"/>
  <c r="K50"/>
  <c r="J50"/>
  <c r="I50"/>
  <c r="H50"/>
  <c r="L48"/>
  <c r="K48"/>
  <c r="J48"/>
  <c r="I48"/>
  <c r="H48"/>
  <c r="L46"/>
  <c r="K46"/>
  <c r="J46"/>
  <c r="I46"/>
  <c r="H46"/>
  <c r="L44"/>
  <c r="K44"/>
  <c r="J44"/>
  <c r="I44"/>
  <c r="H44"/>
  <c r="L43"/>
  <c r="K43"/>
  <c r="J43"/>
  <c r="I43"/>
  <c r="H43"/>
  <c r="L40"/>
  <c r="K40"/>
  <c r="J40"/>
  <c r="I40"/>
  <c r="H40"/>
  <c r="L41"/>
  <c r="K41"/>
  <c r="J41"/>
  <c r="I41"/>
  <c r="H41"/>
  <c r="L38"/>
  <c r="K38"/>
  <c r="J38"/>
  <c r="I38"/>
  <c r="H38"/>
  <c r="L37"/>
  <c r="K37"/>
  <c r="J37"/>
  <c r="I37"/>
  <c r="H37"/>
  <c r="L35"/>
  <c r="K35"/>
  <c r="J35"/>
  <c r="I35"/>
  <c r="H35"/>
  <c r="L34"/>
  <c r="K34"/>
  <c r="J34"/>
  <c r="I34"/>
  <c r="H34"/>
  <c r="L33"/>
  <c r="K33"/>
  <c r="J33"/>
  <c r="I33"/>
  <c r="H33"/>
  <c r="L31"/>
  <c r="K31"/>
  <c r="J31"/>
  <c r="I31"/>
  <c r="H31"/>
  <c r="L30"/>
  <c r="K30"/>
  <c r="J30"/>
  <c r="I30"/>
  <c r="H30"/>
  <c r="L29"/>
  <c r="K29"/>
  <c r="J29"/>
  <c r="I29"/>
  <c r="H29"/>
  <c r="L28"/>
  <c r="K28"/>
  <c r="J28"/>
  <c r="I28"/>
  <c r="H28"/>
  <c r="L27"/>
  <c r="K27"/>
  <c r="J27"/>
  <c r="I27"/>
  <c r="H27"/>
  <c r="H25"/>
  <c r="I25"/>
  <c r="J25"/>
  <c r="K25"/>
  <c r="L25"/>
  <c r="H11"/>
  <c r="I11"/>
  <c r="J11"/>
  <c r="K11"/>
  <c r="L11"/>
  <c r="H19"/>
  <c r="I19"/>
  <c r="J19"/>
  <c r="K19"/>
  <c r="L19"/>
  <c r="H12"/>
  <c r="I12"/>
  <c r="J12"/>
  <c r="K12"/>
  <c r="L12"/>
  <c r="H20"/>
  <c r="I20"/>
  <c r="J20"/>
  <c r="K20"/>
  <c r="L20"/>
  <c r="H13"/>
  <c r="I13"/>
  <c r="J13"/>
  <c r="K13"/>
  <c r="L13"/>
  <c r="H21"/>
  <c r="I21"/>
  <c r="J21"/>
  <c r="K21"/>
  <c r="L21"/>
  <c r="H14"/>
  <c r="I14"/>
  <c r="J14"/>
  <c r="K14"/>
  <c r="L14"/>
  <c r="H22"/>
  <c r="I22"/>
  <c r="J22"/>
  <c r="K22"/>
  <c r="L22"/>
  <c r="H15"/>
  <c r="I15"/>
  <c r="J15"/>
  <c r="K15"/>
  <c r="L15"/>
  <c r="H23"/>
  <c r="I23"/>
  <c r="J23"/>
  <c r="K23"/>
  <c r="L23"/>
  <c r="H10"/>
  <c r="I10"/>
  <c r="J10"/>
  <c r="K10"/>
  <c r="L10"/>
  <c r="H16"/>
  <c r="I16"/>
  <c r="J16"/>
  <c r="K16"/>
  <c r="H24"/>
  <c r="I24"/>
  <c r="J24"/>
  <c r="K24"/>
  <c r="L24"/>
  <c r="H17"/>
  <c r="I17"/>
  <c r="J17"/>
  <c r="K17"/>
  <c r="L17"/>
  <c r="N18"/>
  <c r="L18"/>
  <c r="K18"/>
  <c r="J18"/>
  <c r="I18"/>
  <c r="H18"/>
  <c r="W53" l="1"/>
  <c r="V53"/>
  <c r="X11"/>
  <c r="Y11" s="1"/>
  <c r="X13"/>
  <c r="Y13" s="1"/>
  <c r="X15"/>
  <c r="Y15" s="1"/>
  <c r="X24"/>
  <c r="Y24" s="1"/>
  <c r="X28"/>
  <c r="Y28" s="1"/>
  <c r="X33"/>
  <c r="Y33" s="1"/>
  <c r="X38"/>
  <c r="Y38" s="1"/>
  <c r="X44"/>
  <c r="Y44" s="1"/>
  <c r="J52"/>
  <c r="J53" s="1"/>
  <c r="O52"/>
  <c r="O53" s="1"/>
  <c r="Q52"/>
  <c r="Q53" s="1"/>
  <c r="I52"/>
  <c r="I53" s="1"/>
  <c r="N52"/>
  <c r="N53" s="1"/>
  <c r="P52"/>
  <c r="P53" s="1"/>
  <c r="D53"/>
  <c r="X22"/>
  <c r="Y22" s="1"/>
  <c r="X31"/>
  <c r="Y31" s="1"/>
  <c r="X37"/>
  <c r="Y37" s="1"/>
  <c r="X50"/>
  <c r="Y50" s="1"/>
  <c r="X12"/>
  <c r="Y12" s="1"/>
  <c r="X14"/>
  <c r="Y14" s="1"/>
  <c r="X10"/>
  <c r="Y10" s="1"/>
  <c r="X25"/>
  <c r="Y25" s="1"/>
  <c r="X30"/>
  <c r="Y30" s="1"/>
  <c r="X35"/>
  <c r="Y35" s="1"/>
  <c r="X40"/>
  <c r="Y40" s="1"/>
  <c r="X48"/>
  <c r="Y48" s="1"/>
  <c r="X19"/>
  <c r="Y19" s="1"/>
  <c r="X21"/>
  <c r="Y21" s="1"/>
  <c r="X23"/>
  <c r="Y23" s="1"/>
  <c r="X17"/>
  <c r="Y17" s="1"/>
  <c r="X29"/>
  <c r="Y29" s="1"/>
  <c r="X34"/>
  <c r="Y34" s="1"/>
  <c r="X41"/>
  <c r="Y41" s="1"/>
  <c r="X46"/>
  <c r="Y46" s="1"/>
  <c r="L52"/>
  <c r="L53" s="1"/>
  <c r="X27"/>
  <c r="Y27" s="1"/>
  <c r="H52"/>
  <c r="H53" s="1"/>
  <c r="K52"/>
  <c r="K53" s="1"/>
  <c r="X20"/>
  <c r="Y20" s="1"/>
  <c r="Y43"/>
  <c r="X18"/>
  <c r="Y18" s="1"/>
  <c r="X16"/>
  <c r="Y16" s="1"/>
  <c r="X52" l="1"/>
  <c r="C52"/>
  <c r="C53" s="1"/>
  <c r="Y53" l="1"/>
</calcChain>
</file>

<file path=xl/sharedStrings.xml><?xml version="1.0" encoding="utf-8"?>
<sst xmlns="http://schemas.openxmlformats.org/spreadsheetml/2006/main" count="595" uniqueCount="97">
  <si>
    <t>MESA DIRECTIVA</t>
  </si>
  <si>
    <t>PVE</t>
  </si>
  <si>
    <t>P R I</t>
  </si>
  <si>
    <t>P A N</t>
  </si>
  <si>
    <t>P A N A L</t>
  </si>
  <si>
    <t>P R D</t>
  </si>
  <si>
    <t>P T</t>
  </si>
  <si>
    <t>DIP. RUBEN AGUILAR JIMENEZ</t>
  </si>
  <si>
    <t>MC</t>
  </si>
  <si>
    <t>FONDO DE AHORRO</t>
  </si>
  <si>
    <t>SERVICIO MEDICO</t>
  </si>
  <si>
    <t>FONDO PROPIO</t>
  </si>
  <si>
    <t>ENCUENTRO SOCIAL</t>
  </si>
  <si>
    <t>MORENA</t>
  </si>
  <si>
    <t>DIP. PATRICIA GLORIA JURADO ALONSO</t>
  </si>
  <si>
    <t>DIP. MARIA ISELA TORRES HERNANDEZ</t>
  </si>
  <si>
    <t>DIP. VICTOR MANUEL URIBE MONTOYA</t>
  </si>
  <si>
    <t>DIP. GABRIEL ANGEL GARCIA CANTU</t>
  </si>
  <si>
    <t>DIP. GUSTAVO ALFARO ONTIVEROS</t>
  </si>
  <si>
    <t>DIP.LAURA MONICA MARIN FRANCO</t>
  </si>
  <si>
    <t>DIP. MARIBEL HERNANDEZ MARTINEZ</t>
  </si>
  <si>
    <t>DIP. LILIANA ARACELI IBARRA RIVERA</t>
  </si>
  <si>
    <t>DIP. ADRIANA FUENTES TELLES</t>
  </si>
  <si>
    <t>DIP. JESUS VILLARREAL MACIAS</t>
  </si>
  <si>
    <t>DIP. NADIA XOCHILT SIQUEIROS LOERA</t>
  </si>
  <si>
    <t>DIP. RENE FRIAS BENCOMO</t>
  </si>
  <si>
    <t>DIP. MARIA ANTONIETA MENDOZA MENDOZA</t>
  </si>
  <si>
    <t>DIP. MARTHA REA PEREZ</t>
  </si>
  <si>
    <t>DIP. LETICIA ORTEGA MAYNEZ</t>
  </si>
  <si>
    <t>DIP. PEDRO TORRES ESTRADA</t>
  </si>
  <si>
    <t>DIP. ISRAEL FIERRO TERRAZAS</t>
  </si>
  <si>
    <t>DIP. HECTOR VEGA NEVAREZ</t>
  </si>
  <si>
    <t>DIP. MIGUEL ALBERTO VALLEJO LOZANO</t>
  </si>
  <si>
    <t>DIP. HEVER QUEZADA FLORES</t>
  </si>
  <si>
    <t>DIP. ALEJANDRO GLORIA GONZALEZ</t>
  </si>
  <si>
    <t>DIP. CRYSTAL TOVAR ARAGON</t>
  </si>
  <si>
    <t>DIP. DIANA KARINA VELAZQUEZ RAMIREZ</t>
  </si>
  <si>
    <t>DIP. IMELDA IRENE BELTRAN AMAYA</t>
  </si>
  <si>
    <t>DIP. FRANCISCO JAVIER MALAXECHEVERRIA GONZALEZ</t>
  </si>
  <si>
    <t>DIP. JORGE CARLOS SOTO PRIETO</t>
  </si>
  <si>
    <t>DIP. MIGUEL FRANCISCO LA TORRE SAENZ</t>
  </si>
  <si>
    <t>DIP. BLANCA AMELIA GAMEZ GUTIERREZ</t>
  </si>
  <si>
    <t>DIP. CARMEN ROCIO GONZALEZ ALONSO</t>
  </si>
  <si>
    <t>DIP. JESUS ALBERTO VALENCIANO GARCIA</t>
  </si>
  <si>
    <t>DIP. CITLALIC GUADALUPE PORTILLO HIDALGO</t>
  </si>
  <si>
    <t>COMPENSACION</t>
  </si>
  <si>
    <t>DIETA</t>
  </si>
  <si>
    <t>DIP. ROCIO GRISEL SAENZ RAMIREZ</t>
  </si>
  <si>
    <t>H. CONGRESO DEL ESTADO DE CHIHUAHUA</t>
  </si>
  <si>
    <t>SUBVENCIONES</t>
  </si>
  <si>
    <t>COMBUSTIBLE</t>
  </si>
  <si>
    <t>CELULAR</t>
  </si>
  <si>
    <t>DISPONIBILIDAD</t>
  </si>
  <si>
    <t>PRESUPUESTO EJERCIDO ACUMULADO</t>
  </si>
  <si>
    <t>SECRETARÍA DE ADMINISTRACIÓN</t>
  </si>
  <si>
    <t>BONO DE DESPENSA</t>
  </si>
  <si>
    <t>COORDINADORES</t>
  </si>
  <si>
    <t>SUBCOORDINADORES</t>
  </si>
  <si>
    <t>BONO DE PRODUCTIVIDAD</t>
  </si>
  <si>
    <t>(1)</t>
  </si>
  <si>
    <t>SOLICITA LA DIP. PRESIDENTA  CON FECHA 29 DE NOVIEMBRE DE 2016 NO SE LE OTORGE EL IMPORTE DE $3,470.00 POR CONCEPTO DE PARTIDA DE CELULAR.</t>
  </si>
  <si>
    <t>PRESUPUESTO ANUAL APROBADO</t>
  </si>
  <si>
    <t>GRATIFICACION ANUAL S/DIETA</t>
  </si>
  <si>
    <t xml:space="preserve">PRIMA VACACIONAL S/DIETA </t>
  </si>
  <si>
    <t xml:space="preserve">PPTO EJERCIDO ACUMULADO </t>
  </si>
  <si>
    <t xml:space="preserve">PRESUPUESTO EJERCIDO POR DIPUTADO </t>
  </si>
  <si>
    <t>(2)</t>
  </si>
  <si>
    <t>DEL 1 DE ENERO AL 30 DE JUNIO DEL 2017</t>
  </si>
  <si>
    <t>( 2 )</t>
  </si>
  <si>
    <t>CONCEPTOS CONSIDERADOS COMO PERCEPCIÓN</t>
  </si>
  <si>
    <t>(3)</t>
  </si>
  <si>
    <t>CONCEPTOS SUJETOS A COMPROBACIÓN</t>
  </si>
  <si>
    <t>( 3 )</t>
  </si>
  <si>
    <t>( 4 )</t>
  </si>
  <si>
    <t>(4)</t>
  </si>
  <si>
    <t>COSTO DE SEGURIDAD SOCIAL</t>
  </si>
  <si>
    <t>DEL 1 AL 31 DE ENERO 2017</t>
  </si>
  <si>
    <t>DEL 1 AL 28 DE FEBRERO DE 2017</t>
  </si>
  <si>
    <t>DEL 1 AL 31 DE MARZO DE 2017</t>
  </si>
  <si>
    <t xml:space="preserve">PRESUPUESTO EJERCIDO </t>
  </si>
  <si>
    <t>DEL 1 AL 30 DE ABRIL DE  2017</t>
  </si>
  <si>
    <t>DEL 1 AL 31 DE MAYO DE 2017</t>
  </si>
  <si>
    <t>DEL 1 AL 30 DE JUNIO DE 2017</t>
  </si>
  <si>
    <t>(5)</t>
  </si>
  <si>
    <t>APOYOS DISTRITALES (5)</t>
  </si>
  <si>
    <t>APOYOS DE GESTORIA (6)</t>
  </si>
  <si>
    <t>(6)</t>
  </si>
  <si>
    <t>(7)</t>
  </si>
  <si>
    <t>EL MONTO DE APOYOS DISTRITALES ES DE 25,000.00 POR MES, SIN EMBARGO ESTA CANTIDAD PUEDE VARIAR DEBIDO A QUE LA COMPROBACION PUEDE SER CON POSTERIORIDAD</t>
  </si>
  <si>
    <t>EL MONTO DE APOYOS DE GESTORIA ES DE 28,940.00 POR MES, SIN EMBARGO ESTA CANTIDAD PUEDE VARIAR DEBIDO A QUE LA COMPROBACION PUEDE SER CON POSTERIORIDAD</t>
  </si>
  <si>
    <t>(8)</t>
  </si>
  <si>
    <t>POR ERROR ADMINISTRATIVO EN EL MES DE ABRIL SE EFECTUÓ UN CARGO POR IMPORTE 24,785.50 DEBIENDO SER 12,552.00, EL AJUSTE SE VERA REFLEJADO EN EL MES DE JUNIO.</t>
  </si>
  <si>
    <t>DIETA (8)</t>
  </si>
  <si>
    <t>LA PERCEPCION DE DIETA SE INCREMENTO EN UN 3% A PARTIR DE LA PRIMERA QUINCENA DE MAYO</t>
  </si>
  <si>
    <t>DIETA (9)</t>
  </si>
  <si>
    <t>(9)</t>
  </si>
  <si>
    <t xml:space="preserve"> LA DIP. BLANCA GAMEZ MEDIANTE OFICIO DE FECHA 28 DE NOVIEMBRE DEL 2016 SOLICITÓ QUE LA CANTIDAD DE OCHO MIL PESOS CORESPONDIENTES AL FONDO DE AHORRO SE LE APLICARAN COMO RETENCION EN SU PARTIDA DE COMPENSACION LO CUAL SE VIO REFLEJADO HASTA EL MES DE MARZO DEL 2017</t>
  </si>
</sst>
</file>

<file path=xl/styles.xml><?xml version="1.0" encoding="utf-8"?>
<styleSheet xmlns="http://schemas.openxmlformats.org/spreadsheetml/2006/main">
  <fonts count="20">
    <font>
      <sz val="10"/>
      <name val="Arial"/>
    </font>
    <font>
      <sz val="8"/>
      <color theme="1"/>
      <name val="Calibri"/>
      <family val="2"/>
      <scheme val="minor"/>
    </font>
    <font>
      <b/>
      <sz val="10"/>
      <color theme="1"/>
      <name val="Calibri"/>
      <family val="2"/>
      <scheme val="minor"/>
    </font>
    <font>
      <b/>
      <sz val="8"/>
      <color theme="1"/>
      <name val="Calibri"/>
      <family val="2"/>
      <scheme val="minor"/>
    </font>
    <font>
      <b/>
      <sz val="8"/>
      <name val="Calibri"/>
      <family val="2"/>
      <scheme val="minor"/>
    </font>
    <font>
      <b/>
      <sz val="10"/>
      <name val="Calibri"/>
      <family val="2"/>
      <scheme val="minor"/>
    </font>
    <font>
      <sz val="8"/>
      <name val="Arial Unicode MS"/>
      <family val="2"/>
    </font>
    <font>
      <b/>
      <sz val="8"/>
      <name val="Arial Unicode MS"/>
      <family val="2"/>
    </font>
    <font>
      <sz val="10"/>
      <color theme="1"/>
      <name val="Calibri"/>
      <family val="2"/>
      <scheme val="minor"/>
    </font>
    <font>
      <sz val="14"/>
      <name val="Calibri"/>
      <family val="2"/>
      <scheme val="minor"/>
    </font>
    <font>
      <b/>
      <u/>
      <sz val="8"/>
      <color indexed="18"/>
      <name val="Calibri"/>
      <family val="2"/>
      <scheme val="minor"/>
    </font>
    <font>
      <sz val="8"/>
      <name val="Calibri"/>
      <family val="2"/>
      <scheme val="minor"/>
    </font>
    <font>
      <b/>
      <u/>
      <sz val="8"/>
      <color indexed="17"/>
      <name val="Calibri"/>
      <family val="2"/>
      <scheme val="minor"/>
    </font>
    <font>
      <b/>
      <u/>
      <sz val="8"/>
      <color indexed="10"/>
      <name val="Calibri"/>
      <family val="2"/>
      <scheme val="minor"/>
    </font>
    <font>
      <b/>
      <u/>
      <sz val="8"/>
      <color theme="2" tint="-0.749992370372631"/>
      <name val="Calibri"/>
      <family val="2"/>
      <scheme val="minor"/>
    </font>
    <font>
      <b/>
      <u/>
      <sz val="8"/>
      <color indexed="52"/>
      <name val="Calibri"/>
      <family val="2"/>
      <scheme val="minor"/>
    </font>
    <font>
      <b/>
      <sz val="14"/>
      <name val="Calibri"/>
      <family val="2"/>
      <scheme val="minor"/>
    </font>
    <font>
      <b/>
      <sz val="12"/>
      <name val="Calibri"/>
      <family val="2"/>
      <scheme val="minor"/>
    </font>
    <font>
      <sz val="8"/>
      <name val="Calibri"/>
      <family val="2"/>
    </font>
    <font>
      <sz val="8"/>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249977111117893"/>
        <bgColor indexed="64"/>
      </patternFill>
    </fill>
  </fills>
  <borders count="40">
    <border>
      <left/>
      <right/>
      <top/>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style="hair">
        <color indexed="64"/>
      </top>
      <bottom/>
      <diagonal/>
    </border>
    <border>
      <left style="double">
        <color indexed="64"/>
      </left>
      <right style="hair">
        <color indexed="64"/>
      </right>
      <top style="hair">
        <color indexed="64"/>
      </top>
      <bottom style="double">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double">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double">
        <color indexed="64"/>
      </right>
      <top/>
      <bottom style="hair">
        <color indexed="64"/>
      </bottom>
      <diagonal/>
    </border>
    <border>
      <left style="hair">
        <color indexed="64"/>
      </left>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style="double">
        <color indexed="64"/>
      </left>
      <right style="double">
        <color indexed="64"/>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hair">
        <color indexed="64"/>
      </left>
      <right/>
      <top style="hair">
        <color indexed="64"/>
      </top>
      <bottom style="double">
        <color indexed="64"/>
      </bottom>
      <diagonal/>
    </border>
    <border>
      <left style="double">
        <color indexed="64"/>
      </left>
      <right style="hair">
        <color indexed="64"/>
      </right>
      <top/>
      <bottom/>
      <diagonal/>
    </border>
    <border>
      <left style="hair">
        <color indexed="64"/>
      </left>
      <right style="double">
        <color indexed="64"/>
      </right>
      <top/>
      <bottom/>
      <diagonal/>
    </border>
    <border>
      <left style="double">
        <color indexed="64"/>
      </left>
      <right/>
      <top style="hair">
        <color indexed="64"/>
      </top>
      <bottom/>
      <diagonal/>
    </border>
    <border>
      <left style="hair">
        <color indexed="64"/>
      </left>
      <right style="double">
        <color indexed="64"/>
      </right>
      <top style="hair">
        <color indexed="64"/>
      </top>
      <bottom/>
      <diagonal/>
    </border>
    <border>
      <left style="double">
        <color indexed="64"/>
      </left>
      <right/>
      <top style="double">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style="double">
        <color indexed="64"/>
      </left>
      <right style="double">
        <color indexed="64"/>
      </right>
      <top style="hair">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diagonal/>
    </border>
  </borders>
  <cellStyleXfs count="1">
    <xf numFmtId="0" fontId="0" fillId="0" borderId="0"/>
  </cellStyleXfs>
  <cellXfs count="101">
    <xf numFmtId="0" fontId="0" fillId="0" borderId="0" xfId="0"/>
    <xf numFmtId="0" fontId="1" fillId="0" borderId="0" xfId="0" applyFont="1" applyFill="1"/>
    <xf numFmtId="0" fontId="1" fillId="0" borderId="0" xfId="0" applyFont="1"/>
    <xf numFmtId="0" fontId="1" fillId="2" borderId="0" xfId="0" applyFont="1" applyFill="1"/>
    <xf numFmtId="0" fontId="1" fillId="0" borderId="10" xfId="0" applyFont="1" applyBorder="1"/>
    <xf numFmtId="4" fontId="1" fillId="0" borderId="1" xfId="0" applyNumberFormat="1" applyFont="1" applyBorder="1"/>
    <xf numFmtId="4" fontId="1" fillId="0" borderId="0" xfId="0" applyNumberFormat="1" applyFont="1"/>
    <xf numFmtId="4" fontId="1" fillId="0" borderId="0" xfId="0" applyNumberFormat="1" applyFont="1" applyFill="1"/>
    <xf numFmtId="0" fontId="1" fillId="0" borderId="1" xfId="0" applyFont="1" applyBorder="1"/>
    <xf numFmtId="49" fontId="3" fillId="0" borderId="1" xfId="0" applyNumberFormat="1" applyFont="1" applyBorder="1" applyAlignment="1">
      <alignment horizontal="center"/>
    </xf>
    <xf numFmtId="49" fontId="7" fillId="0" borderId="0" xfId="0" applyNumberFormat="1" applyFont="1" applyAlignment="1">
      <alignment horizontal="right"/>
    </xf>
    <xf numFmtId="0" fontId="6" fillId="0" borderId="0" xfId="0" applyFont="1" applyFill="1"/>
    <xf numFmtId="0" fontId="6" fillId="0" borderId="0" xfId="0" applyFont="1"/>
    <xf numFmtId="0" fontId="1" fillId="0" borderId="11" xfId="0" applyFont="1" applyBorder="1"/>
    <xf numFmtId="4" fontId="1" fillId="0" borderId="14" xfId="0" applyNumberFormat="1" applyFont="1" applyBorder="1"/>
    <xf numFmtId="4" fontId="1" fillId="0" borderId="7" xfId="0" applyNumberFormat="1" applyFont="1" applyBorder="1"/>
    <xf numFmtId="4" fontId="1" fillId="0" borderId="4" xfId="0" applyNumberFormat="1" applyFont="1" applyBorder="1"/>
    <xf numFmtId="0" fontId="1" fillId="0" borderId="4" xfId="0" applyFont="1" applyBorder="1"/>
    <xf numFmtId="4" fontId="1" fillId="0" borderId="17" xfId="0" applyNumberFormat="1" applyFont="1" applyBorder="1"/>
    <xf numFmtId="4" fontId="1" fillId="0" borderId="1" xfId="0" applyNumberFormat="1" applyFont="1" applyFill="1" applyBorder="1"/>
    <xf numFmtId="0" fontId="4" fillId="4" borderId="21" xfId="0" applyFont="1" applyFill="1" applyBorder="1" applyAlignment="1">
      <alignment horizontal="center" vertical="center" wrapText="1"/>
    </xf>
    <xf numFmtId="0" fontId="8" fillId="0" borderId="0" xfId="0" applyFont="1"/>
    <xf numFmtId="0" fontId="5" fillId="5" borderId="19" xfId="0" applyFont="1" applyFill="1" applyBorder="1" applyAlignment="1">
      <alignment horizontal="right"/>
    </xf>
    <xf numFmtId="4" fontId="5" fillId="5" borderId="0" xfId="0" applyNumberFormat="1" applyFont="1" applyFill="1" applyBorder="1" applyAlignment="1">
      <alignment horizontal="center" vertical="center"/>
    </xf>
    <xf numFmtId="4" fontId="5" fillId="5" borderId="16" xfId="0" applyNumberFormat="1" applyFont="1" applyFill="1" applyBorder="1" applyAlignment="1">
      <alignment horizontal="center" vertical="center"/>
    </xf>
    <xf numFmtId="0" fontId="8" fillId="0" borderId="0" xfId="0" applyFont="1" applyFill="1" applyAlignment="1">
      <alignment horizontal="center"/>
    </xf>
    <xf numFmtId="0" fontId="8" fillId="3" borderId="0" xfId="0" applyFont="1" applyFill="1" applyAlignment="1">
      <alignment horizontal="center"/>
    </xf>
    <xf numFmtId="0" fontId="5" fillId="5" borderId="15" xfId="0" applyFont="1" applyFill="1" applyBorder="1" applyAlignment="1">
      <alignment horizontal="right"/>
    </xf>
    <xf numFmtId="4" fontId="5" fillId="5" borderId="16" xfId="0" applyNumberFormat="1" applyFont="1" applyFill="1" applyBorder="1" applyAlignment="1">
      <alignment horizontal="center"/>
    </xf>
    <xf numFmtId="0" fontId="8" fillId="0" borderId="0" xfId="0" applyFont="1" applyAlignment="1">
      <alignment horizontal="center" vertical="center"/>
    </xf>
    <xf numFmtId="4" fontId="2" fillId="5" borderId="3" xfId="0" applyNumberFormat="1" applyFont="1" applyFill="1" applyBorder="1" applyAlignment="1">
      <alignment horizontal="center" vertical="center"/>
    </xf>
    <xf numFmtId="0" fontId="9" fillId="0" borderId="0" xfId="0" applyFont="1" applyBorder="1" applyAlignment="1">
      <alignment horizontal="center"/>
    </xf>
    <xf numFmtId="0" fontId="1" fillId="0" borderId="1" xfId="0" applyFont="1" applyFill="1" applyBorder="1"/>
    <xf numFmtId="4" fontId="1" fillId="0" borderId="14" xfId="0" applyNumberFormat="1" applyFont="1" applyFill="1" applyBorder="1"/>
    <xf numFmtId="4" fontId="1" fillId="0" borderId="17" xfId="0" applyNumberFormat="1" applyFont="1" applyFill="1" applyBorder="1"/>
    <xf numFmtId="0" fontId="4" fillId="5" borderId="22" xfId="0" applyFont="1" applyFill="1" applyBorder="1" applyAlignment="1">
      <alignment horizontal="center" vertical="center" wrapText="1"/>
    </xf>
    <xf numFmtId="0" fontId="4" fillId="4" borderId="24" xfId="0" applyFont="1" applyFill="1" applyBorder="1" applyAlignment="1">
      <alignment horizontal="center" vertical="center" wrapText="1"/>
    </xf>
    <xf numFmtId="4" fontId="5" fillId="5" borderId="0" xfId="0" applyNumberFormat="1" applyFont="1" applyFill="1" applyBorder="1" applyAlignment="1">
      <alignment horizontal="center"/>
    </xf>
    <xf numFmtId="4" fontId="2" fillId="5" borderId="25" xfId="0" applyNumberFormat="1" applyFont="1" applyFill="1" applyBorder="1" applyAlignment="1">
      <alignment horizontal="center" vertical="center"/>
    </xf>
    <xf numFmtId="0" fontId="4" fillId="5" borderId="20" xfId="0" applyFont="1" applyFill="1" applyBorder="1" applyAlignment="1">
      <alignment horizontal="center" vertical="center" wrapText="1"/>
    </xf>
    <xf numFmtId="4" fontId="5" fillId="5" borderId="26" xfId="0" applyNumberFormat="1" applyFont="1" applyFill="1" applyBorder="1" applyAlignment="1">
      <alignment horizontal="center" vertical="center"/>
    </xf>
    <xf numFmtId="0" fontId="3" fillId="0" borderId="19" xfId="0" applyFont="1" applyBorder="1"/>
    <xf numFmtId="4" fontId="3" fillId="0" borderId="15" xfId="0" applyNumberFormat="1" applyFont="1" applyBorder="1"/>
    <xf numFmtId="4" fontId="3" fillId="0" borderId="28" xfId="0" applyNumberFormat="1" applyFont="1" applyBorder="1"/>
    <xf numFmtId="4" fontId="5" fillId="5" borderId="26" xfId="0" applyNumberFormat="1" applyFont="1" applyFill="1" applyBorder="1" applyAlignment="1">
      <alignment horizontal="center"/>
    </xf>
    <xf numFmtId="4" fontId="2" fillId="5" borderId="5" xfId="0" applyNumberFormat="1" applyFont="1" applyFill="1" applyBorder="1" applyAlignment="1">
      <alignment horizontal="center" vertical="center"/>
    </xf>
    <xf numFmtId="4" fontId="2" fillId="5" borderId="8" xfId="0" applyNumberFormat="1" applyFont="1" applyFill="1" applyBorder="1" applyAlignment="1">
      <alignment horizontal="center" vertical="center"/>
    </xf>
    <xf numFmtId="0" fontId="4" fillId="4" borderId="30" xfId="0" applyFont="1" applyFill="1" applyBorder="1" applyAlignment="1">
      <alignment horizontal="center"/>
    </xf>
    <xf numFmtId="0" fontId="10" fillId="0" borderId="15" xfId="0" applyFont="1" applyFill="1" applyBorder="1" applyAlignment="1">
      <alignment horizontal="left"/>
    </xf>
    <xf numFmtId="0" fontId="11" fillId="0" borderId="15" xfId="0" applyFont="1" applyFill="1" applyBorder="1" applyAlignment="1">
      <alignment horizontal="left"/>
    </xf>
    <xf numFmtId="0" fontId="12" fillId="0" borderId="15" xfId="0" applyFont="1" applyFill="1" applyBorder="1" applyAlignment="1">
      <alignment horizontal="left"/>
    </xf>
    <xf numFmtId="0" fontId="13" fillId="0" borderId="15" xfId="0" applyFont="1" applyFill="1" applyBorder="1" applyAlignment="1">
      <alignment horizontal="left"/>
    </xf>
    <xf numFmtId="0" fontId="14" fillId="0" borderId="15" xfId="0" applyFont="1" applyFill="1" applyBorder="1" applyAlignment="1">
      <alignment horizontal="left"/>
    </xf>
    <xf numFmtId="0" fontId="15" fillId="0" borderId="15" xfId="0" applyFont="1" applyFill="1" applyBorder="1" applyAlignment="1">
      <alignment horizontal="left"/>
    </xf>
    <xf numFmtId="0" fontId="11" fillId="0" borderId="28" xfId="0" applyFont="1" applyFill="1" applyBorder="1" applyAlignment="1">
      <alignment horizontal="left"/>
    </xf>
    <xf numFmtId="0" fontId="5" fillId="5" borderId="31" xfId="0" applyFont="1" applyFill="1" applyBorder="1" applyAlignment="1">
      <alignment horizontal="center" vertical="center"/>
    </xf>
    <xf numFmtId="0" fontId="4" fillId="4" borderId="23" xfId="0" applyFont="1" applyFill="1" applyBorder="1" applyAlignment="1">
      <alignment horizontal="center" vertical="center"/>
    </xf>
    <xf numFmtId="4" fontId="1" fillId="0" borderId="12" xfId="0" applyNumberFormat="1" applyFont="1" applyBorder="1"/>
    <xf numFmtId="4" fontId="1" fillId="0" borderId="6" xfId="0" applyNumberFormat="1" applyFont="1" applyBorder="1"/>
    <xf numFmtId="4" fontId="2" fillId="5" borderId="9" xfId="0" applyNumberFormat="1" applyFont="1" applyFill="1" applyBorder="1" applyAlignment="1">
      <alignment horizontal="center" vertical="center"/>
    </xf>
    <xf numFmtId="0" fontId="4" fillId="5" borderId="18" xfId="0" applyFont="1" applyFill="1" applyBorder="1" applyAlignment="1">
      <alignment wrapText="1"/>
    </xf>
    <xf numFmtId="4" fontId="5" fillId="5" borderId="32" xfId="0" applyNumberFormat="1" applyFont="1" applyFill="1" applyBorder="1" applyAlignment="1">
      <alignment horizontal="center" vertical="center"/>
    </xf>
    <xf numFmtId="4" fontId="10" fillId="0" borderId="33" xfId="0" applyNumberFormat="1" applyFont="1" applyFill="1" applyBorder="1" applyAlignment="1">
      <alignment horizontal="left"/>
    </xf>
    <xf numFmtId="0" fontId="12" fillId="0" borderId="34" xfId="0" applyFont="1" applyFill="1" applyBorder="1" applyAlignment="1">
      <alignment horizontal="left"/>
    </xf>
    <xf numFmtId="0" fontId="13" fillId="0" borderId="34" xfId="0" applyFont="1" applyFill="1" applyBorder="1" applyAlignment="1">
      <alignment horizontal="left"/>
    </xf>
    <xf numFmtId="0" fontId="14" fillId="0" borderId="34" xfId="0" applyFont="1" applyFill="1" applyBorder="1" applyAlignment="1">
      <alignment horizontal="left"/>
    </xf>
    <xf numFmtId="0" fontId="15" fillId="0" borderId="34" xfId="0" applyFont="1" applyFill="1" applyBorder="1" applyAlignment="1">
      <alignment horizontal="left"/>
    </xf>
    <xf numFmtId="4" fontId="2" fillId="5" borderId="36" xfId="0" applyNumberFormat="1" applyFont="1" applyFill="1" applyBorder="1" applyAlignment="1">
      <alignment horizontal="center" vertical="center"/>
    </xf>
    <xf numFmtId="0" fontId="16" fillId="0" borderId="0" xfId="0" applyFont="1" applyBorder="1" applyAlignment="1">
      <alignment horizontal="center"/>
    </xf>
    <xf numFmtId="4" fontId="3" fillId="0" borderId="34" xfId="0" applyNumberFormat="1" applyFont="1" applyBorder="1"/>
    <xf numFmtId="4" fontId="3" fillId="0" borderId="34" xfId="0" applyNumberFormat="1" applyFont="1" applyFill="1" applyBorder="1"/>
    <xf numFmtId="4" fontId="3" fillId="0" borderId="35" xfId="0" applyNumberFormat="1" applyFont="1" applyFill="1" applyBorder="1"/>
    <xf numFmtId="0" fontId="7" fillId="0" borderId="0" xfId="0" applyFont="1"/>
    <xf numFmtId="0" fontId="7" fillId="0" borderId="0" xfId="0" applyFont="1" applyFill="1"/>
    <xf numFmtId="0" fontId="11" fillId="0" borderId="0" xfId="0" applyFont="1" applyBorder="1" applyAlignment="1">
      <alignment horizontal="center"/>
    </xf>
    <xf numFmtId="4" fontId="3" fillId="5" borderId="27" xfId="0" applyNumberFormat="1" applyFont="1" applyFill="1" applyBorder="1" applyAlignment="1">
      <alignment horizontal="center" vertical="center"/>
    </xf>
    <xf numFmtId="0" fontId="3" fillId="0" borderId="13" xfId="0" applyFont="1" applyBorder="1"/>
    <xf numFmtId="4" fontId="3" fillId="0" borderId="2" xfId="0" applyNumberFormat="1" applyFont="1" applyBorder="1"/>
    <xf numFmtId="4" fontId="3" fillId="0" borderId="29" xfId="0" applyNumberFormat="1" applyFont="1" applyBorder="1"/>
    <xf numFmtId="0" fontId="3" fillId="5" borderId="27" xfId="0" applyFont="1" applyFill="1" applyBorder="1" applyAlignment="1">
      <alignment horizontal="center"/>
    </xf>
    <xf numFmtId="0" fontId="3" fillId="0" borderId="0" xfId="0" applyFont="1" applyBorder="1"/>
    <xf numFmtId="0" fontId="17" fillId="0" borderId="0" xfId="0" applyFont="1" applyBorder="1" applyAlignment="1">
      <alignment horizontal="center"/>
    </xf>
    <xf numFmtId="0" fontId="17" fillId="0" borderId="0" xfId="0" applyFont="1" applyBorder="1" applyAlignment="1">
      <alignment horizontal="center"/>
    </xf>
    <xf numFmtId="4" fontId="11" fillId="0" borderId="14" xfId="0" applyNumberFormat="1" applyFont="1" applyFill="1" applyBorder="1"/>
    <xf numFmtId="0" fontId="1" fillId="0" borderId="13" xfId="0" applyFont="1" applyBorder="1"/>
    <xf numFmtId="4" fontId="1" fillId="0" borderId="2" xfId="0" applyNumberFormat="1" applyFont="1" applyBorder="1"/>
    <xf numFmtId="4" fontId="1" fillId="0" borderId="29" xfId="0" applyNumberFormat="1" applyFont="1" applyBorder="1"/>
    <xf numFmtId="4" fontId="5" fillId="5" borderId="39" xfId="0" applyNumberFormat="1" applyFont="1" applyFill="1" applyBorder="1" applyAlignment="1">
      <alignment horizontal="center"/>
    </xf>
    <xf numFmtId="0" fontId="4" fillId="4" borderId="22" xfId="0" applyFont="1" applyFill="1" applyBorder="1" applyAlignment="1">
      <alignment horizontal="center" vertical="center" wrapText="1"/>
    </xf>
    <xf numFmtId="49" fontId="3" fillId="0" borderId="1" xfId="0" applyNumberFormat="1" applyFont="1" applyBorder="1"/>
    <xf numFmtId="0" fontId="17" fillId="0" borderId="0" xfId="0" applyFont="1" applyBorder="1" applyAlignment="1">
      <alignment horizontal="center"/>
    </xf>
    <xf numFmtId="49" fontId="9" fillId="0" borderId="37" xfId="0" applyNumberFormat="1" applyFont="1" applyBorder="1" applyAlignment="1">
      <alignment horizontal="center"/>
    </xf>
    <xf numFmtId="0" fontId="19" fillId="0" borderId="0" xfId="0" applyFont="1"/>
    <xf numFmtId="0" fontId="16" fillId="0" borderId="0" xfId="0" applyFont="1" applyBorder="1" applyAlignment="1">
      <alignment horizontal="center"/>
    </xf>
    <xf numFmtId="0" fontId="17" fillId="0" borderId="0" xfId="0" applyFont="1" applyBorder="1" applyAlignment="1">
      <alignment horizontal="center"/>
    </xf>
    <xf numFmtId="49" fontId="9" fillId="0" borderId="30" xfId="0" applyNumberFormat="1" applyFont="1" applyBorder="1" applyAlignment="1">
      <alignment horizontal="center"/>
    </xf>
    <xf numFmtId="49" fontId="9" fillId="0" borderId="37" xfId="0" applyNumberFormat="1" applyFont="1" applyBorder="1" applyAlignment="1">
      <alignment horizontal="center"/>
    </xf>
    <xf numFmtId="49" fontId="9" fillId="0" borderId="38" xfId="0" applyNumberFormat="1" applyFont="1" applyBorder="1" applyAlignment="1">
      <alignment horizontal="center"/>
    </xf>
    <xf numFmtId="17" fontId="17" fillId="0" borderId="0" xfId="0" applyNumberFormat="1" applyFont="1" applyBorder="1" applyAlignment="1">
      <alignment horizontal="center"/>
    </xf>
    <xf numFmtId="0" fontId="18" fillId="0" borderId="0" xfId="0" applyNumberFormat="1" applyFont="1"/>
    <xf numFmtId="0" fontId="1" fillId="0" borderId="0" xfId="0" applyNumberFormat="1" applyFont="1"/>
  </cellXfs>
  <cellStyles count="1">
    <cellStyle name="Normal" xfId="0" builtinId="0"/>
  </cellStyles>
  <dxfs count="0"/>
  <tableStyles count="0" defaultTableStyle="TableStyleMedium9" defaultPivotStyle="PivotStyleLight16"/>
  <colors>
    <mruColors>
      <color rgb="FF0000FF"/>
      <color rgb="FFFFFFCC"/>
      <color rgb="FF004C22"/>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676275</xdr:colOff>
      <xdr:row>0</xdr:row>
      <xdr:rowOff>57149</xdr:rowOff>
    </xdr:from>
    <xdr:to>
      <xdr:col>6</xdr:col>
      <xdr:colOff>38100</xdr:colOff>
      <xdr:row>4</xdr:row>
      <xdr:rowOff>123824</xdr:rowOff>
    </xdr:to>
    <xdr:pic>
      <xdr:nvPicPr>
        <xdr:cNvPr id="2" name="1 Imagen" descr="http://www.congresochihuahua.gob.mx/logos/LogoLXIV-200.png"/>
        <xdr:cNvPicPr/>
      </xdr:nvPicPr>
      <xdr:blipFill>
        <a:blip xmlns:r="http://schemas.openxmlformats.org/officeDocument/2006/relationships" r:embed="rId1" cstate="print"/>
        <a:srcRect/>
        <a:stretch>
          <a:fillRect/>
        </a:stretch>
      </xdr:blipFill>
      <xdr:spPr bwMode="auto">
        <a:xfrm>
          <a:off x="5429250" y="57149"/>
          <a:ext cx="866775" cy="9048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676275</xdr:colOff>
      <xdr:row>0</xdr:row>
      <xdr:rowOff>57149</xdr:rowOff>
    </xdr:from>
    <xdr:to>
      <xdr:col>6</xdr:col>
      <xdr:colOff>38100</xdr:colOff>
      <xdr:row>4</xdr:row>
      <xdr:rowOff>123824</xdr:rowOff>
    </xdr:to>
    <xdr:pic>
      <xdr:nvPicPr>
        <xdr:cNvPr id="2" name="1 Imagen" descr="http://www.congresochihuahua.gob.mx/logos/LogoLXIV-200.png"/>
        <xdr:cNvPicPr/>
      </xdr:nvPicPr>
      <xdr:blipFill>
        <a:blip xmlns:r="http://schemas.openxmlformats.org/officeDocument/2006/relationships" r:embed="rId1" cstate="print"/>
        <a:srcRect/>
        <a:stretch>
          <a:fillRect/>
        </a:stretch>
      </xdr:blipFill>
      <xdr:spPr bwMode="auto">
        <a:xfrm>
          <a:off x="5429250" y="57149"/>
          <a:ext cx="866775" cy="9048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676275</xdr:colOff>
      <xdr:row>0</xdr:row>
      <xdr:rowOff>57149</xdr:rowOff>
    </xdr:from>
    <xdr:to>
      <xdr:col>6</xdr:col>
      <xdr:colOff>38100</xdr:colOff>
      <xdr:row>4</xdr:row>
      <xdr:rowOff>123824</xdr:rowOff>
    </xdr:to>
    <xdr:pic>
      <xdr:nvPicPr>
        <xdr:cNvPr id="2" name="1 Imagen" descr="http://www.congresochihuahua.gob.mx/logos/LogoLXIV-200.png"/>
        <xdr:cNvPicPr/>
      </xdr:nvPicPr>
      <xdr:blipFill>
        <a:blip xmlns:r="http://schemas.openxmlformats.org/officeDocument/2006/relationships" r:embed="rId1" cstate="print"/>
        <a:srcRect/>
        <a:stretch>
          <a:fillRect/>
        </a:stretch>
      </xdr:blipFill>
      <xdr:spPr bwMode="auto">
        <a:xfrm>
          <a:off x="5429250" y="57149"/>
          <a:ext cx="866775" cy="9048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676275</xdr:colOff>
      <xdr:row>0</xdr:row>
      <xdr:rowOff>57149</xdr:rowOff>
    </xdr:from>
    <xdr:to>
      <xdr:col>6</xdr:col>
      <xdr:colOff>38100</xdr:colOff>
      <xdr:row>4</xdr:row>
      <xdr:rowOff>123824</xdr:rowOff>
    </xdr:to>
    <xdr:pic>
      <xdr:nvPicPr>
        <xdr:cNvPr id="2" name="1 Imagen" descr="http://www.congresochihuahua.gob.mx/logos/LogoLXIV-200.png"/>
        <xdr:cNvPicPr/>
      </xdr:nvPicPr>
      <xdr:blipFill>
        <a:blip xmlns:r="http://schemas.openxmlformats.org/officeDocument/2006/relationships" r:embed="rId1" cstate="print"/>
        <a:srcRect/>
        <a:stretch>
          <a:fillRect/>
        </a:stretch>
      </xdr:blipFill>
      <xdr:spPr bwMode="auto">
        <a:xfrm>
          <a:off x="5429250" y="57149"/>
          <a:ext cx="866775" cy="9048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676275</xdr:colOff>
      <xdr:row>0</xdr:row>
      <xdr:rowOff>57149</xdr:rowOff>
    </xdr:from>
    <xdr:to>
      <xdr:col>6</xdr:col>
      <xdr:colOff>38100</xdr:colOff>
      <xdr:row>4</xdr:row>
      <xdr:rowOff>123824</xdr:rowOff>
    </xdr:to>
    <xdr:pic>
      <xdr:nvPicPr>
        <xdr:cNvPr id="2" name="1 Imagen" descr="http://www.congresochihuahua.gob.mx/logos/LogoLXIV-200.png"/>
        <xdr:cNvPicPr/>
      </xdr:nvPicPr>
      <xdr:blipFill>
        <a:blip xmlns:r="http://schemas.openxmlformats.org/officeDocument/2006/relationships" r:embed="rId1" cstate="print"/>
        <a:srcRect/>
        <a:stretch>
          <a:fillRect/>
        </a:stretch>
      </xdr:blipFill>
      <xdr:spPr bwMode="auto">
        <a:xfrm>
          <a:off x="5429250" y="57149"/>
          <a:ext cx="866775" cy="9048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676275</xdr:colOff>
      <xdr:row>0</xdr:row>
      <xdr:rowOff>57149</xdr:rowOff>
    </xdr:from>
    <xdr:to>
      <xdr:col>6</xdr:col>
      <xdr:colOff>38100</xdr:colOff>
      <xdr:row>4</xdr:row>
      <xdr:rowOff>123824</xdr:rowOff>
    </xdr:to>
    <xdr:pic>
      <xdr:nvPicPr>
        <xdr:cNvPr id="2" name="1 Imagen" descr="http://www.congresochihuahua.gob.mx/logos/LogoLXIV-200.png"/>
        <xdr:cNvPicPr/>
      </xdr:nvPicPr>
      <xdr:blipFill>
        <a:blip xmlns:r="http://schemas.openxmlformats.org/officeDocument/2006/relationships" r:embed="rId1" cstate="print"/>
        <a:srcRect/>
        <a:stretch>
          <a:fillRect/>
        </a:stretch>
      </xdr:blipFill>
      <xdr:spPr bwMode="auto">
        <a:xfrm>
          <a:off x="5429250" y="57149"/>
          <a:ext cx="866775" cy="90487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676275</xdr:colOff>
      <xdr:row>0</xdr:row>
      <xdr:rowOff>57149</xdr:rowOff>
    </xdr:from>
    <xdr:to>
      <xdr:col>7</xdr:col>
      <xdr:colOff>38100</xdr:colOff>
      <xdr:row>4</xdr:row>
      <xdr:rowOff>123824</xdr:rowOff>
    </xdr:to>
    <xdr:pic>
      <xdr:nvPicPr>
        <xdr:cNvPr id="2" name="1 Imagen" descr="http://www.congresochihuahua.gob.mx/logos/LogoLXIV-200.png"/>
        <xdr:cNvPicPr/>
      </xdr:nvPicPr>
      <xdr:blipFill>
        <a:blip xmlns:r="http://schemas.openxmlformats.org/officeDocument/2006/relationships" r:embed="rId1" cstate="print"/>
        <a:srcRect/>
        <a:stretch>
          <a:fillRect/>
        </a:stretch>
      </xdr:blipFill>
      <xdr:spPr bwMode="auto">
        <a:xfrm>
          <a:off x="5429250" y="57149"/>
          <a:ext cx="866775" cy="904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00B050"/>
  </sheetPr>
  <dimension ref="A1:AO90"/>
  <sheetViews>
    <sheetView tabSelected="1" workbookViewId="0">
      <pane xSplit="2" ySplit="8" topLeftCell="C45" activePane="bottomRight" state="frozen"/>
      <selection pane="topRight" activeCell="C1" sqref="C1"/>
      <selection pane="bottomLeft" activeCell="A9" sqref="A9"/>
      <selection pane="bottomRight" activeCell="C59" sqref="C59"/>
    </sheetView>
  </sheetViews>
  <sheetFormatPr baseColWidth="10" defaultColWidth="11.42578125" defaultRowHeight="12.75"/>
  <cols>
    <col min="1" max="1" width="1.5703125" style="2" customWidth="1"/>
    <col min="2" max="2" width="32.140625" style="12" customWidth="1"/>
    <col min="3" max="3" width="12.85546875" style="2" customWidth="1"/>
    <col min="4" max="4" width="11.140625" style="2" customWidth="1"/>
    <col min="5" max="5" width="10.5703125" style="2" customWidth="1"/>
    <col min="6" max="6" width="12" style="2" customWidth="1"/>
    <col min="7" max="7" width="9.85546875" style="2" bestFit="1" customWidth="1"/>
    <col min="8" max="8" width="12.85546875" style="2" customWidth="1"/>
    <col min="9" max="9" width="12" style="2" customWidth="1"/>
    <col min="10" max="11" width="11.28515625" style="2" bestFit="1" customWidth="1"/>
    <col min="12" max="12" width="2.7109375" style="2" bestFit="1" customWidth="1"/>
    <col min="13" max="13" width="11.28515625" style="2" bestFit="1" customWidth="1"/>
    <col min="14" max="14" width="9.85546875" style="2" bestFit="1" customWidth="1"/>
    <col min="15" max="15" width="11.28515625" style="2" bestFit="1" customWidth="1"/>
    <col min="16" max="16" width="10.85546875" style="2" customWidth="1"/>
    <col min="17" max="18" width="12.28515625" style="2" bestFit="1" customWidth="1"/>
    <col min="19" max="19" width="2.5703125" style="2" customWidth="1"/>
    <col min="20" max="20" width="11.28515625" style="2" bestFit="1" customWidth="1"/>
    <col min="21" max="21" width="9.85546875" style="2" bestFit="1" customWidth="1"/>
    <col min="22" max="22" width="3.7109375" style="2" customWidth="1"/>
    <col min="23" max="16384" width="11.42578125" style="2"/>
  </cols>
  <sheetData>
    <row r="1" spans="1:41" ht="18.75">
      <c r="A1" s="2">
        <v>1</v>
      </c>
      <c r="B1" s="93" t="s">
        <v>48</v>
      </c>
      <c r="C1" s="93"/>
      <c r="D1" s="93"/>
      <c r="E1" s="93"/>
      <c r="F1" s="93"/>
      <c r="G1" s="93"/>
      <c r="H1" s="93"/>
      <c r="I1" s="93"/>
      <c r="J1" s="93"/>
      <c r="K1" s="93"/>
      <c r="L1" s="93"/>
      <c r="M1" s="93"/>
      <c r="N1" s="93"/>
      <c r="O1" s="93"/>
      <c r="P1" s="93"/>
      <c r="Q1" s="93"/>
      <c r="R1" s="93"/>
      <c r="S1" s="93"/>
      <c r="T1" s="93"/>
      <c r="U1" s="93"/>
      <c r="V1" s="93"/>
    </row>
    <row r="2" spans="1:41" ht="15.75">
      <c r="B2" s="94" t="s">
        <v>54</v>
      </c>
      <c r="C2" s="94"/>
      <c r="D2" s="94"/>
      <c r="E2" s="94"/>
      <c r="F2" s="94"/>
      <c r="G2" s="94"/>
      <c r="H2" s="94"/>
      <c r="I2" s="94"/>
      <c r="J2" s="94"/>
      <c r="K2" s="94"/>
      <c r="L2" s="94"/>
      <c r="M2" s="94"/>
      <c r="N2" s="94"/>
      <c r="O2" s="94"/>
      <c r="P2" s="94"/>
      <c r="Q2" s="94"/>
      <c r="R2" s="94"/>
      <c r="S2" s="94"/>
      <c r="T2" s="94"/>
      <c r="U2" s="94"/>
      <c r="V2" s="94"/>
    </row>
    <row r="3" spans="1:41" ht="15.75">
      <c r="B3" s="94" t="s">
        <v>65</v>
      </c>
      <c r="C3" s="94"/>
      <c r="D3" s="94"/>
      <c r="E3" s="94"/>
      <c r="F3" s="94"/>
      <c r="G3" s="94"/>
      <c r="H3" s="94"/>
      <c r="I3" s="94"/>
      <c r="J3" s="94"/>
      <c r="K3" s="94"/>
      <c r="L3" s="94"/>
      <c r="M3" s="94"/>
      <c r="N3" s="94"/>
      <c r="O3" s="94"/>
      <c r="P3" s="94"/>
      <c r="Q3" s="94"/>
      <c r="R3" s="94"/>
      <c r="S3" s="94"/>
      <c r="T3" s="94"/>
      <c r="U3" s="94"/>
      <c r="V3" s="94"/>
      <c r="W3" s="1"/>
      <c r="X3" s="1"/>
      <c r="Y3" s="1"/>
      <c r="Z3" s="1"/>
      <c r="AA3" s="1"/>
      <c r="AB3" s="1"/>
      <c r="AC3" s="1"/>
      <c r="AD3" s="1"/>
      <c r="AE3" s="1"/>
      <c r="AF3" s="1"/>
      <c r="AG3" s="1"/>
      <c r="AH3" s="1"/>
      <c r="AI3" s="1"/>
      <c r="AJ3" s="1"/>
      <c r="AK3" s="1"/>
      <c r="AL3" s="1"/>
      <c r="AM3" s="1"/>
      <c r="AN3" s="1"/>
      <c r="AO3" s="1"/>
    </row>
    <row r="4" spans="1:41" ht="15.75">
      <c r="B4" s="94" t="s">
        <v>76</v>
      </c>
      <c r="C4" s="94"/>
      <c r="D4" s="94"/>
      <c r="E4" s="94"/>
      <c r="F4" s="94"/>
      <c r="G4" s="94"/>
      <c r="H4" s="94"/>
      <c r="I4" s="94"/>
      <c r="J4" s="94"/>
      <c r="K4" s="94"/>
      <c r="L4" s="94"/>
      <c r="M4" s="94"/>
      <c r="N4" s="94"/>
      <c r="O4" s="94"/>
      <c r="P4" s="94"/>
      <c r="Q4" s="94"/>
      <c r="R4" s="94"/>
      <c r="S4" s="94"/>
      <c r="T4" s="94"/>
      <c r="U4" s="94"/>
      <c r="V4" s="94"/>
      <c r="W4" s="1"/>
      <c r="X4" s="1"/>
      <c r="Y4" s="1"/>
      <c r="Z4" s="1"/>
      <c r="AA4" s="1"/>
      <c r="AB4" s="1"/>
      <c r="AC4" s="1"/>
      <c r="AD4" s="1"/>
      <c r="AE4" s="1"/>
      <c r="AF4" s="1"/>
      <c r="AG4" s="1"/>
      <c r="AH4" s="1"/>
      <c r="AI4" s="1"/>
      <c r="AJ4" s="1"/>
      <c r="AK4" s="1"/>
      <c r="AL4" s="1"/>
      <c r="AM4" s="1"/>
      <c r="AN4" s="1"/>
      <c r="AO4" s="1"/>
    </row>
    <row r="5" spans="1:41" ht="16.5" thickBot="1">
      <c r="B5" s="82"/>
      <c r="C5" s="82"/>
      <c r="D5" s="82"/>
      <c r="E5" s="82"/>
      <c r="F5" s="82"/>
      <c r="G5" s="82"/>
      <c r="H5" s="82"/>
      <c r="I5" s="82"/>
      <c r="J5" s="82"/>
      <c r="K5" s="82"/>
      <c r="L5" s="82"/>
      <c r="M5" s="82"/>
      <c r="N5" s="82"/>
      <c r="O5" s="82"/>
      <c r="P5" s="82"/>
      <c r="Q5" s="82"/>
      <c r="R5" s="82"/>
      <c r="S5" s="90"/>
      <c r="T5" s="82"/>
      <c r="U5" s="82"/>
      <c r="V5" s="82"/>
      <c r="W5" s="1"/>
      <c r="X5" s="1"/>
      <c r="Y5" s="1"/>
      <c r="Z5" s="1"/>
      <c r="AA5" s="1"/>
      <c r="AB5" s="1"/>
      <c r="AC5" s="1"/>
      <c r="AD5" s="1"/>
      <c r="AE5" s="1"/>
      <c r="AF5" s="1"/>
      <c r="AG5" s="1"/>
      <c r="AH5" s="1"/>
      <c r="AI5" s="1"/>
      <c r="AJ5" s="1"/>
      <c r="AK5" s="1"/>
      <c r="AL5" s="1"/>
      <c r="AM5" s="1"/>
      <c r="AN5" s="1"/>
      <c r="AO5" s="1"/>
    </row>
    <row r="6" spans="1:41" ht="20.25" thickTop="1" thickBot="1">
      <c r="B6" s="31"/>
      <c r="C6" s="95" t="s">
        <v>68</v>
      </c>
      <c r="D6" s="96"/>
      <c r="E6" s="96"/>
      <c r="F6" s="96"/>
      <c r="G6" s="96"/>
      <c r="H6" s="96"/>
      <c r="I6" s="96"/>
      <c r="J6" s="96"/>
      <c r="K6" s="96"/>
      <c r="L6" s="96"/>
      <c r="M6" s="96"/>
      <c r="N6" s="96"/>
      <c r="O6" s="96"/>
      <c r="P6" s="97"/>
      <c r="Q6" s="95" t="s">
        <v>72</v>
      </c>
      <c r="R6" s="97"/>
      <c r="S6" s="91"/>
      <c r="T6" s="95" t="s">
        <v>73</v>
      </c>
      <c r="U6" s="97"/>
      <c r="V6" s="31"/>
      <c r="W6" s="1"/>
      <c r="X6" s="1"/>
      <c r="Y6" s="1"/>
      <c r="Z6" s="1"/>
      <c r="AA6" s="1"/>
      <c r="AB6" s="1"/>
      <c r="AC6" s="1"/>
      <c r="AD6" s="1"/>
      <c r="AE6" s="1"/>
      <c r="AF6" s="1"/>
      <c r="AG6" s="1"/>
      <c r="AH6" s="1"/>
      <c r="AI6" s="1"/>
      <c r="AJ6" s="1"/>
      <c r="AK6" s="1"/>
      <c r="AL6" s="1"/>
      <c r="AM6" s="1"/>
      <c r="AN6" s="1"/>
      <c r="AO6" s="1"/>
    </row>
    <row r="7" spans="1:41" s="3" customFormat="1" ht="37.5" customHeight="1" thickTop="1" thickBot="1">
      <c r="A7" s="2"/>
      <c r="B7" s="47"/>
      <c r="C7" s="56" t="s">
        <v>46</v>
      </c>
      <c r="D7" s="20" t="s">
        <v>62</v>
      </c>
      <c r="E7" s="20" t="s">
        <v>63</v>
      </c>
      <c r="F7" s="20" t="s">
        <v>58</v>
      </c>
      <c r="G7" s="20" t="s">
        <v>55</v>
      </c>
      <c r="H7" s="20" t="s">
        <v>45</v>
      </c>
      <c r="I7" s="20" t="s">
        <v>49</v>
      </c>
      <c r="J7" s="20" t="s">
        <v>50</v>
      </c>
      <c r="K7" s="20" t="s">
        <v>51</v>
      </c>
      <c r="L7" s="20"/>
      <c r="M7" s="20" t="s">
        <v>9</v>
      </c>
      <c r="N7" s="20" t="s">
        <v>0</v>
      </c>
      <c r="O7" s="20" t="s">
        <v>56</v>
      </c>
      <c r="P7" s="20" t="s">
        <v>57</v>
      </c>
      <c r="Q7" s="20" t="s">
        <v>84</v>
      </c>
      <c r="R7" s="20" t="s">
        <v>85</v>
      </c>
      <c r="S7" s="20"/>
      <c r="T7" s="20" t="s">
        <v>11</v>
      </c>
      <c r="U7" s="88" t="s">
        <v>10</v>
      </c>
      <c r="V7" s="1"/>
      <c r="W7" s="1"/>
      <c r="X7" s="1"/>
      <c r="Y7" s="1"/>
      <c r="Z7" s="1"/>
      <c r="AA7" s="1"/>
      <c r="AB7" s="1"/>
      <c r="AC7" s="1"/>
      <c r="AD7" s="1"/>
      <c r="AE7" s="1"/>
      <c r="AF7" s="1"/>
      <c r="AG7" s="1"/>
      <c r="AH7" s="1"/>
      <c r="AI7" s="1"/>
      <c r="AJ7" s="1"/>
      <c r="AK7" s="1"/>
      <c r="AL7" s="1"/>
      <c r="AM7" s="1"/>
      <c r="AN7" s="1"/>
      <c r="AO7" s="1"/>
    </row>
    <row r="8" spans="1:41" ht="12" thickTop="1">
      <c r="B8" s="48" t="s">
        <v>3</v>
      </c>
      <c r="C8" s="57"/>
      <c r="D8" s="4"/>
      <c r="E8" s="4"/>
      <c r="F8" s="4"/>
      <c r="G8" s="4"/>
      <c r="H8" s="4"/>
      <c r="I8" s="4"/>
      <c r="J8" s="4"/>
      <c r="K8" s="4"/>
      <c r="L8" s="4"/>
      <c r="M8" s="4"/>
      <c r="N8" s="4"/>
      <c r="O8" s="4"/>
      <c r="P8" s="4"/>
      <c r="Q8" s="13"/>
      <c r="R8" s="13"/>
      <c r="S8" s="4"/>
      <c r="T8" s="13"/>
      <c r="U8" s="84"/>
      <c r="V8" s="1"/>
      <c r="W8" s="1"/>
      <c r="X8" s="1"/>
      <c r="Y8" s="1"/>
      <c r="Z8" s="1"/>
      <c r="AA8" s="1"/>
      <c r="AB8" s="1"/>
      <c r="AC8" s="1"/>
      <c r="AD8" s="1"/>
      <c r="AE8" s="1"/>
      <c r="AF8" s="1"/>
      <c r="AG8" s="1"/>
      <c r="AH8" s="1"/>
      <c r="AI8" s="1"/>
      <c r="AJ8" s="1"/>
      <c r="AK8" s="1"/>
      <c r="AL8" s="1"/>
      <c r="AM8" s="1"/>
      <c r="AN8" s="1"/>
      <c r="AO8" s="1"/>
    </row>
    <row r="9" spans="1:41" ht="11.25">
      <c r="B9" s="49" t="s">
        <v>40</v>
      </c>
      <c r="C9" s="58">
        <v>32369</v>
      </c>
      <c r="D9" s="5"/>
      <c r="E9" s="5"/>
      <c r="F9" s="5"/>
      <c r="G9" s="5">
        <f t="shared" ref="G9:G49" si="0">624*$A$1</f>
        <v>624</v>
      </c>
      <c r="H9" s="5">
        <f t="shared" ref="H9:H49" si="1">31090*$A$1</f>
        <v>31090</v>
      </c>
      <c r="I9" s="5">
        <f t="shared" ref="I9:I49" si="2">11575*$A$1</f>
        <v>11575</v>
      </c>
      <c r="J9" s="5">
        <f t="shared" ref="J9:J49" si="3">4630*$A$1</f>
        <v>4630</v>
      </c>
      <c r="K9" s="5">
        <f t="shared" ref="K9:K49" si="4">3470*$A$1</f>
        <v>3470</v>
      </c>
      <c r="L9" s="5"/>
      <c r="M9" s="5">
        <f t="shared" ref="M9:M49" si="5">8000*$A$1</f>
        <v>8000</v>
      </c>
      <c r="N9" s="5"/>
      <c r="O9" s="5">
        <f>48160*1</f>
        <v>48160</v>
      </c>
      <c r="P9" s="5"/>
      <c r="Q9" s="83"/>
      <c r="R9" s="33">
        <v>8000</v>
      </c>
      <c r="S9" s="5"/>
      <c r="T9" s="14">
        <f>C9*0.2</f>
        <v>6473.8</v>
      </c>
      <c r="U9" s="85">
        <f>C9*0.06</f>
        <v>1942.1399999999999</v>
      </c>
      <c r="V9" s="6"/>
      <c r="W9" s="6"/>
      <c r="X9" s="6"/>
    </row>
    <row r="10" spans="1:41" ht="11.25">
      <c r="B10" s="49" t="s">
        <v>16</v>
      </c>
      <c r="C10" s="58">
        <v>32369</v>
      </c>
      <c r="D10" s="5"/>
      <c r="E10" s="5"/>
      <c r="F10" s="5"/>
      <c r="G10" s="5">
        <f t="shared" si="0"/>
        <v>624</v>
      </c>
      <c r="H10" s="5">
        <f t="shared" si="1"/>
        <v>31090</v>
      </c>
      <c r="I10" s="5">
        <f t="shared" si="2"/>
        <v>11575</v>
      </c>
      <c r="J10" s="5">
        <f t="shared" si="3"/>
        <v>4630</v>
      </c>
      <c r="K10" s="5">
        <f t="shared" si="4"/>
        <v>3470</v>
      </c>
      <c r="L10" s="5"/>
      <c r="M10" s="5">
        <f t="shared" si="5"/>
        <v>8000</v>
      </c>
      <c r="N10" s="5"/>
      <c r="O10" s="5"/>
      <c r="P10" s="5"/>
      <c r="Q10" s="83"/>
      <c r="R10" s="33">
        <v>8000</v>
      </c>
      <c r="S10" s="5"/>
      <c r="T10" s="14">
        <f t="shared" ref="T10:T24" si="6">C10*0.2</f>
        <v>6473.8</v>
      </c>
      <c r="U10" s="85">
        <f t="shared" ref="U10:U24" si="7">C10*0.06</f>
        <v>1942.1399999999999</v>
      </c>
      <c r="V10" s="6"/>
      <c r="W10" s="7"/>
      <c r="X10" s="7"/>
      <c r="Y10" s="1"/>
      <c r="Z10" s="1"/>
      <c r="AA10" s="1"/>
      <c r="AB10" s="1"/>
      <c r="AC10" s="1"/>
      <c r="AD10" s="1"/>
      <c r="AE10" s="1"/>
      <c r="AF10" s="1"/>
      <c r="AG10" s="1"/>
      <c r="AH10" s="1"/>
      <c r="AI10" s="1"/>
      <c r="AJ10" s="1"/>
      <c r="AK10" s="1"/>
      <c r="AL10" s="1"/>
      <c r="AM10" s="1"/>
      <c r="AN10" s="1"/>
      <c r="AO10" s="1"/>
    </row>
    <row r="11" spans="1:41" ht="11.25">
      <c r="B11" s="49" t="s">
        <v>18</v>
      </c>
      <c r="C11" s="58">
        <v>32369</v>
      </c>
      <c r="D11" s="5"/>
      <c r="E11" s="5"/>
      <c r="F11" s="5"/>
      <c r="G11" s="5">
        <f t="shared" si="0"/>
        <v>624</v>
      </c>
      <c r="H11" s="5">
        <f t="shared" si="1"/>
        <v>31090</v>
      </c>
      <c r="I11" s="5">
        <f t="shared" si="2"/>
        <v>11575</v>
      </c>
      <c r="J11" s="5">
        <f t="shared" si="3"/>
        <v>4630</v>
      </c>
      <c r="K11" s="5">
        <f t="shared" si="4"/>
        <v>3470</v>
      </c>
      <c r="L11" s="5"/>
      <c r="M11" s="5">
        <f t="shared" si="5"/>
        <v>8000</v>
      </c>
      <c r="N11" s="5"/>
      <c r="O11" s="5"/>
      <c r="P11" s="5"/>
      <c r="Q11" s="83"/>
      <c r="R11" s="33">
        <v>8000</v>
      </c>
      <c r="S11" s="5"/>
      <c r="T11" s="14">
        <f t="shared" si="6"/>
        <v>6473.8</v>
      </c>
      <c r="U11" s="85">
        <f t="shared" si="7"/>
        <v>1942.1399999999999</v>
      </c>
      <c r="V11" s="6"/>
      <c r="W11" s="7"/>
      <c r="X11" s="7"/>
      <c r="Y11" s="1"/>
      <c r="Z11" s="1"/>
      <c r="AA11" s="1"/>
      <c r="AB11" s="1"/>
      <c r="AC11" s="1"/>
      <c r="AD11" s="1"/>
      <c r="AE11" s="1"/>
      <c r="AF11" s="1"/>
      <c r="AG11" s="1"/>
      <c r="AH11" s="1"/>
      <c r="AI11" s="1"/>
      <c r="AJ11" s="1"/>
      <c r="AK11" s="1"/>
      <c r="AL11" s="1"/>
      <c r="AM11" s="1"/>
      <c r="AN11" s="1"/>
      <c r="AO11" s="1"/>
    </row>
    <row r="12" spans="1:41" ht="11.25">
      <c r="B12" s="49" t="s">
        <v>20</v>
      </c>
      <c r="C12" s="58">
        <v>32369</v>
      </c>
      <c r="D12" s="5"/>
      <c r="E12" s="5"/>
      <c r="F12" s="5"/>
      <c r="G12" s="5">
        <f t="shared" si="0"/>
        <v>624</v>
      </c>
      <c r="H12" s="5">
        <f t="shared" si="1"/>
        <v>31090</v>
      </c>
      <c r="I12" s="5">
        <f t="shared" si="2"/>
        <v>11575</v>
      </c>
      <c r="J12" s="5">
        <f t="shared" si="3"/>
        <v>4630</v>
      </c>
      <c r="K12" s="5">
        <f t="shared" si="4"/>
        <v>3470</v>
      </c>
      <c r="L12" s="5"/>
      <c r="M12" s="5">
        <f t="shared" si="5"/>
        <v>8000</v>
      </c>
      <c r="N12" s="5"/>
      <c r="O12" s="5"/>
      <c r="P12" s="5"/>
      <c r="Q12" s="83">
        <v>6627</v>
      </c>
      <c r="R12" s="33">
        <v>8000</v>
      </c>
      <c r="S12" s="5"/>
      <c r="T12" s="14">
        <f t="shared" si="6"/>
        <v>6473.8</v>
      </c>
      <c r="U12" s="85">
        <f t="shared" si="7"/>
        <v>1942.1399999999999</v>
      </c>
      <c r="V12" s="6"/>
      <c r="W12" s="6"/>
      <c r="X12" s="6"/>
    </row>
    <row r="13" spans="1:41" ht="11.25">
      <c r="B13" s="49" t="s">
        <v>23</v>
      </c>
      <c r="C13" s="58">
        <v>32369</v>
      </c>
      <c r="D13" s="5"/>
      <c r="E13" s="5"/>
      <c r="F13" s="5"/>
      <c r="G13" s="5">
        <f t="shared" si="0"/>
        <v>624</v>
      </c>
      <c r="H13" s="5">
        <f t="shared" si="1"/>
        <v>31090</v>
      </c>
      <c r="I13" s="5">
        <f t="shared" si="2"/>
        <v>11575</v>
      </c>
      <c r="J13" s="5">
        <f t="shared" si="3"/>
        <v>4630</v>
      </c>
      <c r="K13" s="5">
        <f t="shared" si="4"/>
        <v>3470</v>
      </c>
      <c r="L13" s="5"/>
      <c r="M13" s="5">
        <f t="shared" si="5"/>
        <v>8000</v>
      </c>
      <c r="N13" s="5">
        <f>4000*1</f>
        <v>4000</v>
      </c>
      <c r="O13" s="5"/>
      <c r="P13" s="5"/>
      <c r="Q13" s="83"/>
      <c r="R13" s="33">
        <v>8000</v>
      </c>
      <c r="S13" s="5"/>
      <c r="T13" s="14">
        <f t="shared" si="6"/>
        <v>6473.8</v>
      </c>
      <c r="U13" s="85">
        <f t="shared" si="7"/>
        <v>1942.1399999999999</v>
      </c>
      <c r="V13" s="6"/>
      <c r="W13" s="6"/>
      <c r="X13" s="6"/>
    </row>
    <row r="14" spans="1:41" ht="11.25">
      <c r="B14" s="49" t="s">
        <v>38</v>
      </c>
      <c r="C14" s="58">
        <v>32369</v>
      </c>
      <c r="D14" s="5"/>
      <c r="E14" s="5"/>
      <c r="F14" s="5"/>
      <c r="G14" s="5">
        <f t="shared" si="0"/>
        <v>624</v>
      </c>
      <c r="H14" s="5">
        <f t="shared" si="1"/>
        <v>31090</v>
      </c>
      <c r="I14" s="5">
        <f t="shared" si="2"/>
        <v>11575</v>
      </c>
      <c r="J14" s="5">
        <f t="shared" si="3"/>
        <v>4630</v>
      </c>
      <c r="K14" s="5">
        <f t="shared" si="4"/>
        <v>3470</v>
      </c>
      <c r="L14" s="5"/>
      <c r="M14" s="5">
        <f t="shared" si="5"/>
        <v>8000</v>
      </c>
      <c r="N14" s="5">
        <f>2663*1</f>
        <v>2663</v>
      </c>
      <c r="O14" s="5"/>
      <c r="P14" s="5">
        <v>0</v>
      </c>
      <c r="Q14" s="33"/>
      <c r="R14" s="33">
        <v>8000</v>
      </c>
      <c r="S14" s="5"/>
      <c r="T14" s="14">
        <f t="shared" si="6"/>
        <v>6473.8</v>
      </c>
      <c r="U14" s="85">
        <f t="shared" si="7"/>
        <v>1942.1399999999999</v>
      </c>
      <c r="V14" s="6"/>
      <c r="W14" s="6"/>
      <c r="X14" s="6"/>
    </row>
    <row r="15" spans="1:41" ht="11.25">
      <c r="B15" s="49" t="s">
        <v>41</v>
      </c>
      <c r="C15" s="58">
        <v>32369</v>
      </c>
      <c r="D15" s="5"/>
      <c r="E15" s="5"/>
      <c r="F15" s="5"/>
      <c r="G15" s="5">
        <f t="shared" si="0"/>
        <v>624</v>
      </c>
      <c r="H15" s="5">
        <f t="shared" si="1"/>
        <v>31090</v>
      </c>
      <c r="I15" s="5">
        <f t="shared" si="2"/>
        <v>11575</v>
      </c>
      <c r="J15" s="5">
        <f t="shared" si="3"/>
        <v>4630</v>
      </c>
      <c r="K15" s="5">
        <v>0</v>
      </c>
      <c r="L15" s="9" t="s">
        <v>59</v>
      </c>
      <c r="M15" s="5">
        <f t="shared" si="5"/>
        <v>8000</v>
      </c>
      <c r="N15" s="5">
        <f>10000*$A$1</f>
        <v>10000</v>
      </c>
      <c r="O15" s="5"/>
      <c r="P15" s="5"/>
      <c r="Q15" s="33"/>
      <c r="R15" s="33">
        <v>8000</v>
      </c>
      <c r="S15" s="89" t="s">
        <v>87</v>
      </c>
      <c r="T15" s="14">
        <f t="shared" si="6"/>
        <v>6473.8</v>
      </c>
      <c r="U15" s="85">
        <f t="shared" si="7"/>
        <v>1942.1399999999999</v>
      </c>
      <c r="V15" s="6"/>
      <c r="W15" s="6"/>
      <c r="X15" s="6"/>
    </row>
    <row r="16" spans="1:41" ht="11.25">
      <c r="B16" s="49" t="s">
        <v>43</v>
      </c>
      <c r="C16" s="58">
        <v>32369</v>
      </c>
      <c r="D16" s="5"/>
      <c r="E16" s="5"/>
      <c r="F16" s="5"/>
      <c r="G16" s="5">
        <f t="shared" si="0"/>
        <v>624</v>
      </c>
      <c r="H16" s="5">
        <f t="shared" si="1"/>
        <v>31090</v>
      </c>
      <c r="I16" s="5">
        <f t="shared" si="2"/>
        <v>11575</v>
      </c>
      <c r="J16" s="5">
        <f t="shared" si="3"/>
        <v>4630</v>
      </c>
      <c r="K16" s="5">
        <f t="shared" si="4"/>
        <v>3470</v>
      </c>
      <c r="L16" s="5"/>
      <c r="M16" s="5">
        <f t="shared" si="5"/>
        <v>8000</v>
      </c>
      <c r="N16" s="5">
        <f>2663*$A$1</f>
        <v>2663</v>
      </c>
      <c r="O16" s="5"/>
      <c r="P16" s="5"/>
      <c r="Q16" s="33"/>
      <c r="R16" s="33">
        <v>8000</v>
      </c>
      <c r="S16" s="5"/>
      <c r="T16" s="14">
        <f t="shared" si="6"/>
        <v>6473.8</v>
      </c>
      <c r="U16" s="85">
        <f t="shared" si="7"/>
        <v>1942.1399999999999</v>
      </c>
      <c r="V16" s="6"/>
      <c r="W16" s="6"/>
      <c r="X16" s="6"/>
    </row>
    <row r="17" spans="2:41" ht="11.25">
      <c r="B17" s="49" t="s">
        <v>14</v>
      </c>
      <c r="C17" s="58">
        <v>32369</v>
      </c>
      <c r="D17" s="5"/>
      <c r="E17" s="5"/>
      <c r="F17" s="5"/>
      <c r="G17" s="5">
        <f>624*$A$1</f>
        <v>624</v>
      </c>
      <c r="H17" s="5">
        <f>31090*$A$1</f>
        <v>31090</v>
      </c>
      <c r="I17" s="5">
        <f>11575*$A$1</f>
        <v>11575</v>
      </c>
      <c r="J17" s="5">
        <f>4630*$A$1</f>
        <v>4630</v>
      </c>
      <c r="K17" s="5">
        <f>3470*$A$1</f>
        <v>3470</v>
      </c>
      <c r="L17" s="5"/>
      <c r="M17" s="5">
        <f>8000*$A$1</f>
        <v>8000</v>
      </c>
      <c r="N17" s="5"/>
      <c r="O17" s="5"/>
      <c r="P17" s="5"/>
      <c r="Q17" s="33">
        <v>5710</v>
      </c>
      <c r="R17" s="33">
        <v>8000</v>
      </c>
      <c r="S17" s="5"/>
      <c r="T17" s="14">
        <f t="shared" si="6"/>
        <v>6473.8</v>
      </c>
      <c r="U17" s="85">
        <f t="shared" si="7"/>
        <v>1942.1399999999999</v>
      </c>
      <c r="V17" s="6"/>
      <c r="W17" s="7"/>
      <c r="X17" s="7"/>
      <c r="Y17" s="1"/>
      <c r="Z17" s="1"/>
      <c r="AA17" s="1"/>
      <c r="AB17" s="1"/>
      <c r="AC17" s="1"/>
      <c r="AD17" s="1"/>
      <c r="AE17" s="1"/>
      <c r="AF17" s="1"/>
      <c r="AG17" s="1"/>
      <c r="AH17" s="1"/>
      <c r="AI17" s="1"/>
      <c r="AJ17" s="1"/>
      <c r="AK17" s="1"/>
      <c r="AL17" s="1"/>
      <c r="AM17" s="1"/>
      <c r="AN17" s="1"/>
      <c r="AO17" s="1"/>
    </row>
    <row r="18" spans="2:41" ht="11.25">
      <c r="B18" s="49" t="s">
        <v>17</v>
      </c>
      <c r="C18" s="58">
        <v>32369</v>
      </c>
      <c r="D18" s="5"/>
      <c r="E18" s="5"/>
      <c r="F18" s="5"/>
      <c r="G18" s="5">
        <f t="shared" si="0"/>
        <v>624</v>
      </c>
      <c r="H18" s="5">
        <f t="shared" si="1"/>
        <v>31090</v>
      </c>
      <c r="I18" s="5">
        <f t="shared" si="2"/>
        <v>11575</v>
      </c>
      <c r="J18" s="5">
        <f t="shared" si="3"/>
        <v>4630</v>
      </c>
      <c r="K18" s="5">
        <f t="shared" si="4"/>
        <v>3470</v>
      </c>
      <c r="L18" s="5"/>
      <c r="M18" s="5">
        <f t="shared" si="5"/>
        <v>8000</v>
      </c>
      <c r="N18" s="5"/>
      <c r="O18" s="8"/>
      <c r="P18" s="5">
        <f>14878*1</f>
        <v>14878</v>
      </c>
      <c r="Q18" s="33"/>
      <c r="R18" s="33">
        <v>8000</v>
      </c>
      <c r="S18" s="5"/>
      <c r="T18" s="14">
        <f t="shared" si="6"/>
        <v>6473.8</v>
      </c>
      <c r="U18" s="85">
        <f t="shared" si="7"/>
        <v>1942.1399999999999</v>
      </c>
      <c r="V18" s="6"/>
      <c r="W18" s="7"/>
      <c r="X18" s="7"/>
      <c r="Y18" s="1"/>
      <c r="Z18" s="1"/>
      <c r="AA18" s="1"/>
      <c r="AB18" s="1"/>
      <c r="AC18" s="1"/>
      <c r="AD18" s="1"/>
      <c r="AE18" s="1"/>
      <c r="AF18" s="1"/>
      <c r="AG18" s="1"/>
      <c r="AH18" s="1"/>
      <c r="AI18" s="1"/>
      <c r="AJ18" s="1"/>
      <c r="AK18" s="1"/>
      <c r="AL18" s="1"/>
      <c r="AM18" s="1"/>
      <c r="AN18" s="1"/>
      <c r="AO18" s="1"/>
    </row>
    <row r="19" spans="2:41" ht="11.25">
      <c r="B19" s="49" t="s">
        <v>19</v>
      </c>
      <c r="C19" s="58">
        <v>32369</v>
      </c>
      <c r="D19" s="5"/>
      <c r="E19" s="5"/>
      <c r="F19" s="5"/>
      <c r="G19" s="5">
        <f t="shared" si="0"/>
        <v>624</v>
      </c>
      <c r="H19" s="5">
        <f t="shared" si="1"/>
        <v>31090</v>
      </c>
      <c r="I19" s="5">
        <f t="shared" si="2"/>
        <v>11575</v>
      </c>
      <c r="J19" s="5">
        <f t="shared" si="3"/>
        <v>4630</v>
      </c>
      <c r="K19" s="5">
        <f t="shared" si="4"/>
        <v>3470</v>
      </c>
      <c r="L19" s="5"/>
      <c r="M19" s="5">
        <f t="shared" si="5"/>
        <v>8000</v>
      </c>
      <c r="N19" s="5"/>
      <c r="O19" s="5"/>
      <c r="P19" s="5"/>
      <c r="Q19" s="33"/>
      <c r="R19" s="33">
        <v>8000</v>
      </c>
      <c r="S19" s="5"/>
      <c r="T19" s="14">
        <f t="shared" si="6"/>
        <v>6473.8</v>
      </c>
      <c r="U19" s="85">
        <f t="shared" si="7"/>
        <v>1942.1399999999999</v>
      </c>
      <c r="V19" s="6"/>
      <c r="W19" s="6"/>
      <c r="X19" s="6"/>
    </row>
    <row r="20" spans="2:41" ht="11.25">
      <c r="B20" s="49" t="s">
        <v>21</v>
      </c>
      <c r="C20" s="58">
        <v>32369</v>
      </c>
      <c r="D20" s="5"/>
      <c r="E20" s="5"/>
      <c r="F20" s="5"/>
      <c r="G20" s="5">
        <f t="shared" si="0"/>
        <v>624</v>
      </c>
      <c r="H20" s="5">
        <f t="shared" si="1"/>
        <v>31090</v>
      </c>
      <c r="I20" s="5">
        <f t="shared" si="2"/>
        <v>11575</v>
      </c>
      <c r="J20" s="5">
        <f t="shared" si="3"/>
        <v>4630</v>
      </c>
      <c r="K20" s="5">
        <f t="shared" si="4"/>
        <v>3470</v>
      </c>
      <c r="L20" s="5"/>
      <c r="M20" s="5">
        <f t="shared" si="5"/>
        <v>8000</v>
      </c>
      <c r="N20" s="5"/>
      <c r="O20" s="5"/>
      <c r="P20" s="5"/>
      <c r="Q20" s="33"/>
      <c r="R20" s="33">
        <v>8000</v>
      </c>
      <c r="S20" s="5"/>
      <c r="T20" s="14">
        <f t="shared" si="6"/>
        <v>6473.8</v>
      </c>
      <c r="U20" s="85">
        <f t="shared" si="7"/>
        <v>1942.1399999999999</v>
      </c>
      <c r="V20" s="6"/>
      <c r="W20" s="6"/>
      <c r="X20" s="6"/>
    </row>
    <row r="21" spans="2:41" ht="11.25">
      <c r="B21" s="49" t="s">
        <v>24</v>
      </c>
      <c r="C21" s="58">
        <v>32369</v>
      </c>
      <c r="D21" s="5"/>
      <c r="E21" s="5"/>
      <c r="F21" s="5"/>
      <c r="G21" s="5">
        <f t="shared" si="0"/>
        <v>624</v>
      </c>
      <c r="H21" s="5">
        <f t="shared" si="1"/>
        <v>31090</v>
      </c>
      <c r="I21" s="5">
        <f t="shared" si="2"/>
        <v>11575</v>
      </c>
      <c r="J21" s="5">
        <f t="shared" si="3"/>
        <v>4630</v>
      </c>
      <c r="K21" s="5">
        <f t="shared" si="4"/>
        <v>3470</v>
      </c>
      <c r="L21" s="5"/>
      <c r="M21" s="5">
        <f t="shared" si="5"/>
        <v>8000</v>
      </c>
      <c r="N21" s="5"/>
      <c r="O21" s="5"/>
      <c r="P21" s="5"/>
      <c r="Q21" s="33"/>
      <c r="R21" s="33">
        <v>8000</v>
      </c>
      <c r="S21" s="5"/>
      <c r="T21" s="14">
        <f t="shared" si="6"/>
        <v>6473.8</v>
      </c>
      <c r="U21" s="85">
        <f t="shared" si="7"/>
        <v>1942.1399999999999</v>
      </c>
      <c r="V21" s="6"/>
      <c r="W21" s="6"/>
      <c r="X21" s="6"/>
    </row>
    <row r="22" spans="2:41" ht="11.25">
      <c r="B22" s="49" t="s">
        <v>39</v>
      </c>
      <c r="C22" s="58">
        <v>32369</v>
      </c>
      <c r="D22" s="5"/>
      <c r="E22" s="5"/>
      <c r="F22" s="5"/>
      <c r="G22" s="5">
        <f t="shared" si="0"/>
        <v>624</v>
      </c>
      <c r="H22" s="5">
        <f t="shared" si="1"/>
        <v>31090</v>
      </c>
      <c r="I22" s="5">
        <f t="shared" si="2"/>
        <v>11575</v>
      </c>
      <c r="J22" s="5">
        <f t="shared" si="3"/>
        <v>4630</v>
      </c>
      <c r="K22" s="5">
        <f t="shared" si="4"/>
        <v>3470</v>
      </c>
      <c r="L22" s="5"/>
      <c r="M22" s="5">
        <f t="shared" si="5"/>
        <v>8000</v>
      </c>
      <c r="N22" s="5"/>
      <c r="O22" s="5"/>
      <c r="P22" s="5"/>
      <c r="Q22" s="33"/>
      <c r="R22" s="33">
        <v>8000</v>
      </c>
      <c r="S22" s="5"/>
      <c r="T22" s="14">
        <f t="shared" si="6"/>
        <v>6473.8</v>
      </c>
      <c r="U22" s="85">
        <f t="shared" si="7"/>
        <v>1942.1399999999999</v>
      </c>
      <c r="V22" s="6"/>
      <c r="W22" s="6"/>
      <c r="X22" s="6"/>
    </row>
    <row r="23" spans="2:41" ht="11.25">
      <c r="B23" s="49" t="s">
        <v>42</v>
      </c>
      <c r="C23" s="58">
        <v>32369</v>
      </c>
      <c r="D23" s="5"/>
      <c r="E23" s="5"/>
      <c r="F23" s="5"/>
      <c r="G23" s="5">
        <f t="shared" si="0"/>
        <v>624</v>
      </c>
      <c r="H23" s="5">
        <f t="shared" si="1"/>
        <v>31090</v>
      </c>
      <c r="I23" s="5">
        <f t="shared" si="2"/>
        <v>11575</v>
      </c>
      <c r="J23" s="5">
        <f t="shared" si="3"/>
        <v>4630</v>
      </c>
      <c r="K23" s="5">
        <f t="shared" si="4"/>
        <v>3470</v>
      </c>
      <c r="L23" s="5"/>
      <c r="M23" s="5">
        <f t="shared" si="5"/>
        <v>8000</v>
      </c>
      <c r="N23" s="5"/>
      <c r="O23" s="5"/>
      <c r="P23" s="5"/>
      <c r="Q23" s="33"/>
      <c r="R23" s="33">
        <v>8000</v>
      </c>
      <c r="S23" s="5"/>
      <c r="T23" s="14">
        <f t="shared" si="6"/>
        <v>6473.8</v>
      </c>
      <c r="U23" s="85">
        <f t="shared" si="7"/>
        <v>1942.1399999999999</v>
      </c>
      <c r="V23" s="6"/>
      <c r="W23" s="6"/>
      <c r="X23" s="6"/>
    </row>
    <row r="24" spans="2:41" ht="11.25">
      <c r="B24" s="49" t="s">
        <v>44</v>
      </c>
      <c r="C24" s="58">
        <v>32369</v>
      </c>
      <c r="D24" s="5"/>
      <c r="E24" s="5"/>
      <c r="F24" s="5"/>
      <c r="G24" s="5">
        <f t="shared" si="0"/>
        <v>624</v>
      </c>
      <c r="H24" s="5">
        <f t="shared" si="1"/>
        <v>31090</v>
      </c>
      <c r="I24" s="5">
        <f t="shared" si="2"/>
        <v>11575</v>
      </c>
      <c r="J24" s="5">
        <f t="shared" si="3"/>
        <v>4630</v>
      </c>
      <c r="K24" s="5">
        <f t="shared" si="4"/>
        <v>3470</v>
      </c>
      <c r="L24" s="5"/>
      <c r="M24" s="5">
        <f t="shared" si="5"/>
        <v>8000</v>
      </c>
      <c r="N24" s="5"/>
      <c r="O24" s="5"/>
      <c r="P24" s="5"/>
      <c r="Q24" s="33"/>
      <c r="R24" s="33">
        <v>8000</v>
      </c>
      <c r="S24" s="5"/>
      <c r="T24" s="14">
        <f t="shared" si="6"/>
        <v>6473.8</v>
      </c>
      <c r="U24" s="85">
        <f t="shared" si="7"/>
        <v>1942.1399999999999</v>
      </c>
      <c r="V24" s="6"/>
      <c r="W24" s="6"/>
      <c r="X24" s="6"/>
    </row>
    <row r="25" spans="2:41" ht="11.25">
      <c r="B25" s="50" t="s">
        <v>2</v>
      </c>
      <c r="C25" s="58"/>
      <c r="D25" s="5"/>
      <c r="E25" s="5"/>
      <c r="F25" s="5"/>
      <c r="G25" s="5"/>
      <c r="H25" s="5"/>
      <c r="I25" s="5"/>
      <c r="J25" s="5"/>
      <c r="K25" s="5"/>
      <c r="L25" s="5"/>
      <c r="M25" s="5"/>
      <c r="N25" s="5"/>
      <c r="O25" s="5"/>
      <c r="P25" s="5"/>
      <c r="Q25" s="33"/>
      <c r="R25" s="33"/>
      <c r="S25" s="5"/>
      <c r="T25" s="14"/>
      <c r="U25" s="85"/>
      <c r="V25" s="6"/>
      <c r="W25" s="6"/>
      <c r="X25" s="6"/>
    </row>
    <row r="26" spans="2:41" ht="11.25">
      <c r="B26" s="49" t="s">
        <v>15</v>
      </c>
      <c r="C26" s="58">
        <v>32369</v>
      </c>
      <c r="D26" s="5"/>
      <c r="E26" s="5"/>
      <c r="F26" s="5"/>
      <c r="G26" s="5">
        <f t="shared" si="0"/>
        <v>624</v>
      </c>
      <c r="H26" s="5">
        <f t="shared" si="1"/>
        <v>31090</v>
      </c>
      <c r="I26" s="5">
        <f t="shared" si="2"/>
        <v>11575</v>
      </c>
      <c r="J26" s="5">
        <f t="shared" si="3"/>
        <v>4630</v>
      </c>
      <c r="K26" s="5">
        <f t="shared" si="4"/>
        <v>3470</v>
      </c>
      <c r="L26" s="5"/>
      <c r="M26" s="5">
        <f t="shared" si="5"/>
        <v>8000</v>
      </c>
      <c r="N26" s="5"/>
      <c r="O26" s="8"/>
      <c r="P26" s="5">
        <f>4650*$A$1</f>
        <v>4650</v>
      </c>
      <c r="Q26" s="33"/>
      <c r="R26" s="33">
        <v>8000</v>
      </c>
      <c r="S26" s="5"/>
      <c r="T26" s="14">
        <f t="shared" ref="T26:T30" si="8">C26*0.2</f>
        <v>6473.8</v>
      </c>
      <c r="U26" s="85">
        <f t="shared" ref="U26:U30" si="9">C26*0.06</f>
        <v>1942.1399999999999</v>
      </c>
      <c r="V26" s="6"/>
      <c r="W26" s="6"/>
      <c r="X26" s="6"/>
    </row>
    <row r="27" spans="2:41" ht="11.25">
      <c r="B27" s="49" t="s">
        <v>47</v>
      </c>
      <c r="C27" s="58">
        <v>32369</v>
      </c>
      <c r="D27" s="5"/>
      <c r="E27" s="5"/>
      <c r="F27" s="5"/>
      <c r="G27" s="5">
        <f t="shared" si="0"/>
        <v>624</v>
      </c>
      <c r="H27" s="5">
        <f t="shared" si="1"/>
        <v>31090</v>
      </c>
      <c r="I27" s="5">
        <f t="shared" si="2"/>
        <v>11575</v>
      </c>
      <c r="J27" s="5">
        <f t="shared" si="3"/>
        <v>4630</v>
      </c>
      <c r="K27" s="5">
        <f t="shared" si="4"/>
        <v>3470</v>
      </c>
      <c r="L27" s="5"/>
      <c r="M27" s="5">
        <f t="shared" si="5"/>
        <v>8000</v>
      </c>
      <c r="N27" s="5">
        <f>4000*$A$1</f>
        <v>4000</v>
      </c>
      <c r="O27" s="5"/>
      <c r="P27" s="5"/>
      <c r="Q27" s="33"/>
      <c r="R27" s="33">
        <v>8000</v>
      </c>
      <c r="S27" s="5"/>
      <c r="T27" s="14">
        <f t="shared" si="8"/>
        <v>6473.8</v>
      </c>
      <c r="U27" s="85">
        <f t="shared" si="9"/>
        <v>1942.1399999999999</v>
      </c>
      <c r="V27" s="6"/>
      <c r="W27" s="6"/>
      <c r="X27" s="6"/>
    </row>
    <row r="28" spans="2:41" ht="11.25">
      <c r="B28" s="49" t="s">
        <v>22</v>
      </c>
      <c r="C28" s="58">
        <v>32369</v>
      </c>
      <c r="D28" s="5"/>
      <c r="E28" s="5"/>
      <c r="F28" s="5"/>
      <c r="G28" s="5">
        <f t="shared" si="0"/>
        <v>624</v>
      </c>
      <c r="H28" s="5">
        <f t="shared" si="1"/>
        <v>31090</v>
      </c>
      <c r="I28" s="5">
        <f t="shared" si="2"/>
        <v>11575</v>
      </c>
      <c r="J28" s="5">
        <f t="shared" si="3"/>
        <v>4630</v>
      </c>
      <c r="K28" s="5">
        <f t="shared" si="4"/>
        <v>3470</v>
      </c>
      <c r="L28" s="5"/>
      <c r="M28" s="5">
        <f t="shared" si="5"/>
        <v>8000</v>
      </c>
      <c r="N28" s="5"/>
      <c r="O28" s="5"/>
      <c r="P28" s="5"/>
      <c r="Q28" s="33"/>
      <c r="R28" s="33">
        <v>8000</v>
      </c>
      <c r="S28" s="5"/>
      <c r="T28" s="14">
        <f t="shared" si="8"/>
        <v>6473.8</v>
      </c>
      <c r="U28" s="85">
        <f t="shared" si="9"/>
        <v>1942.1399999999999</v>
      </c>
      <c r="V28" s="6"/>
      <c r="W28" s="6"/>
      <c r="X28" s="6"/>
    </row>
    <row r="29" spans="2:41" ht="11.25">
      <c r="B29" s="49" t="s">
        <v>36</v>
      </c>
      <c r="C29" s="58">
        <v>32369</v>
      </c>
      <c r="D29" s="5"/>
      <c r="E29" s="5"/>
      <c r="F29" s="5"/>
      <c r="G29" s="5">
        <f t="shared" si="0"/>
        <v>624</v>
      </c>
      <c r="H29" s="5">
        <f t="shared" si="1"/>
        <v>31090</v>
      </c>
      <c r="I29" s="5">
        <f t="shared" si="2"/>
        <v>11575</v>
      </c>
      <c r="J29" s="5">
        <f t="shared" si="3"/>
        <v>4630</v>
      </c>
      <c r="K29" s="5">
        <f t="shared" si="4"/>
        <v>3470</v>
      </c>
      <c r="L29" s="5"/>
      <c r="M29" s="5">
        <f t="shared" si="5"/>
        <v>8000</v>
      </c>
      <c r="N29" s="5"/>
      <c r="O29" s="5">
        <f>15050*$A$1</f>
        <v>15050</v>
      </c>
      <c r="P29" s="5"/>
      <c r="Q29" s="83"/>
      <c r="R29" s="33">
        <v>8000</v>
      </c>
      <c r="S29" s="5"/>
      <c r="T29" s="14">
        <f t="shared" si="8"/>
        <v>6473.8</v>
      </c>
      <c r="U29" s="85">
        <f t="shared" si="9"/>
        <v>1942.1399999999999</v>
      </c>
      <c r="V29" s="6"/>
      <c r="W29" s="6"/>
      <c r="X29" s="6"/>
    </row>
    <row r="30" spans="2:41" ht="11.25">
      <c r="B30" s="49" t="s">
        <v>37</v>
      </c>
      <c r="C30" s="58">
        <v>32369</v>
      </c>
      <c r="D30" s="5"/>
      <c r="E30" s="5"/>
      <c r="F30" s="5"/>
      <c r="G30" s="5">
        <f t="shared" si="0"/>
        <v>624</v>
      </c>
      <c r="H30" s="5">
        <f t="shared" si="1"/>
        <v>31090</v>
      </c>
      <c r="I30" s="5">
        <f t="shared" si="2"/>
        <v>11575</v>
      </c>
      <c r="J30" s="5">
        <f t="shared" si="3"/>
        <v>4630</v>
      </c>
      <c r="K30" s="5">
        <f t="shared" si="4"/>
        <v>3470</v>
      </c>
      <c r="L30" s="5"/>
      <c r="M30" s="5">
        <f t="shared" si="5"/>
        <v>8000</v>
      </c>
      <c r="N30" s="5">
        <f>2663*$A$1</f>
        <v>2663</v>
      </c>
      <c r="O30" s="5"/>
      <c r="P30" s="5"/>
      <c r="Q30" s="33"/>
      <c r="R30" s="33">
        <v>8000</v>
      </c>
      <c r="S30" s="5"/>
      <c r="T30" s="14">
        <f t="shared" si="8"/>
        <v>6473.8</v>
      </c>
      <c r="U30" s="85">
        <f t="shared" si="9"/>
        <v>1942.1399999999999</v>
      </c>
      <c r="V30" s="6"/>
      <c r="W30" s="6"/>
      <c r="X30" s="6"/>
    </row>
    <row r="31" spans="2:41" ht="11.25">
      <c r="B31" s="50" t="s">
        <v>4</v>
      </c>
      <c r="C31" s="58"/>
      <c r="D31" s="5"/>
      <c r="E31" s="5"/>
      <c r="F31" s="5"/>
      <c r="G31" s="5"/>
      <c r="H31" s="5"/>
      <c r="I31" s="5"/>
      <c r="J31" s="5"/>
      <c r="K31" s="5"/>
      <c r="L31" s="5"/>
      <c r="M31" s="5"/>
      <c r="N31" s="5"/>
      <c r="O31" s="5"/>
      <c r="P31" s="5"/>
      <c r="Q31" s="33"/>
      <c r="R31" s="33"/>
      <c r="S31" s="5"/>
      <c r="T31" s="14"/>
      <c r="U31" s="85"/>
      <c r="V31" s="6"/>
      <c r="W31" s="6"/>
      <c r="X31" s="6"/>
    </row>
    <row r="32" spans="2:41" ht="11.25">
      <c r="B32" s="49" t="s">
        <v>25</v>
      </c>
      <c r="C32" s="58">
        <v>32369</v>
      </c>
      <c r="D32" s="5"/>
      <c r="E32" s="5"/>
      <c r="F32" s="5"/>
      <c r="G32" s="5">
        <f t="shared" si="0"/>
        <v>624</v>
      </c>
      <c r="H32" s="5">
        <f t="shared" si="1"/>
        <v>31090</v>
      </c>
      <c r="I32" s="5">
        <f t="shared" si="2"/>
        <v>11575</v>
      </c>
      <c r="J32" s="5">
        <f t="shared" si="3"/>
        <v>4630</v>
      </c>
      <c r="K32" s="5">
        <f t="shared" si="4"/>
        <v>3470</v>
      </c>
      <c r="L32" s="5"/>
      <c r="M32" s="5">
        <f t="shared" si="5"/>
        <v>8000</v>
      </c>
      <c r="N32" s="5"/>
      <c r="O32" s="5">
        <f>9030*$A$1</f>
        <v>9030</v>
      </c>
      <c r="P32" s="5"/>
      <c r="Q32" s="33"/>
      <c r="R32" s="33">
        <v>8000</v>
      </c>
      <c r="S32" s="5"/>
      <c r="T32" s="14">
        <f t="shared" ref="T32:T34" si="10">C32*0.2</f>
        <v>6473.8</v>
      </c>
      <c r="U32" s="85">
        <f t="shared" ref="U32:U34" si="11">C32*0.06</f>
        <v>1942.1399999999999</v>
      </c>
      <c r="V32" s="6"/>
      <c r="W32" s="6"/>
      <c r="X32" s="6"/>
    </row>
    <row r="33" spans="2:24" ht="11.25">
      <c r="B33" s="49" t="s">
        <v>26</v>
      </c>
      <c r="C33" s="58">
        <v>32369</v>
      </c>
      <c r="D33" s="5"/>
      <c r="E33" s="5"/>
      <c r="F33" s="5"/>
      <c r="G33" s="5">
        <f t="shared" si="0"/>
        <v>624</v>
      </c>
      <c r="H33" s="5">
        <f t="shared" si="1"/>
        <v>31090</v>
      </c>
      <c r="I33" s="5">
        <f t="shared" si="2"/>
        <v>11575</v>
      </c>
      <c r="J33" s="5">
        <f t="shared" si="3"/>
        <v>4630</v>
      </c>
      <c r="K33" s="5">
        <f t="shared" si="4"/>
        <v>3470</v>
      </c>
      <c r="L33" s="5"/>
      <c r="M33" s="5">
        <f t="shared" si="5"/>
        <v>8000</v>
      </c>
      <c r="N33" s="19">
        <f>2663*$A$1</f>
        <v>2663</v>
      </c>
      <c r="O33" s="32"/>
      <c r="P33" s="19">
        <f>2790*$A$1</f>
        <v>2790</v>
      </c>
      <c r="Q33" s="33"/>
      <c r="R33" s="33">
        <v>8000</v>
      </c>
      <c r="S33" s="5"/>
      <c r="T33" s="14">
        <f t="shared" si="10"/>
        <v>6473.8</v>
      </c>
      <c r="U33" s="85">
        <f t="shared" si="11"/>
        <v>1942.1399999999999</v>
      </c>
      <c r="V33" s="6"/>
      <c r="W33" s="6"/>
      <c r="X33" s="6"/>
    </row>
    <row r="34" spans="2:24" ht="11.25">
      <c r="B34" s="49" t="s">
        <v>27</v>
      </c>
      <c r="C34" s="58">
        <v>32369</v>
      </c>
      <c r="D34" s="5"/>
      <c r="E34" s="5"/>
      <c r="F34" s="5"/>
      <c r="G34" s="5">
        <f t="shared" si="0"/>
        <v>624</v>
      </c>
      <c r="H34" s="5">
        <f t="shared" si="1"/>
        <v>31090</v>
      </c>
      <c r="I34" s="5">
        <f t="shared" si="2"/>
        <v>11575</v>
      </c>
      <c r="J34" s="5">
        <f t="shared" si="3"/>
        <v>4630</v>
      </c>
      <c r="K34" s="5">
        <f t="shared" si="4"/>
        <v>3470</v>
      </c>
      <c r="L34" s="5"/>
      <c r="M34" s="5">
        <f t="shared" si="5"/>
        <v>8000</v>
      </c>
      <c r="N34" s="5"/>
      <c r="O34" s="5"/>
      <c r="P34" s="5"/>
      <c r="Q34" s="33"/>
      <c r="R34" s="33">
        <v>8000</v>
      </c>
      <c r="S34" s="5"/>
      <c r="T34" s="14">
        <f t="shared" si="10"/>
        <v>6473.8</v>
      </c>
      <c r="U34" s="85">
        <f t="shared" si="11"/>
        <v>1942.1399999999999</v>
      </c>
      <c r="V34" s="6"/>
      <c r="W34" s="6"/>
      <c r="X34" s="6"/>
    </row>
    <row r="35" spans="2:24" ht="11.25">
      <c r="B35" s="51" t="s">
        <v>6</v>
      </c>
      <c r="C35" s="58"/>
      <c r="D35" s="5"/>
      <c r="E35" s="5"/>
      <c r="F35" s="5"/>
      <c r="G35" s="5"/>
      <c r="H35" s="5"/>
      <c r="I35" s="5"/>
      <c r="J35" s="5"/>
      <c r="K35" s="5"/>
      <c r="L35" s="5"/>
      <c r="M35" s="5"/>
      <c r="N35" s="5"/>
      <c r="O35" s="5"/>
      <c r="P35" s="5"/>
      <c r="Q35" s="33"/>
      <c r="R35" s="33"/>
      <c r="S35" s="5"/>
      <c r="T35" s="14"/>
      <c r="U35" s="85"/>
      <c r="V35" s="6"/>
      <c r="W35" s="6"/>
      <c r="X35" s="6"/>
    </row>
    <row r="36" spans="2:24" ht="11.25">
      <c r="B36" s="49" t="s">
        <v>7</v>
      </c>
      <c r="C36" s="58">
        <v>32369</v>
      </c>
      <c r="D36" s="5"/>
      <c r="E36" s="5"/>
      <c r="F36" s="5"/>
      <c r="G36" s="5">
        <f t="shared" si="0"/>
        <v>624</v>
      </c>
      <c r="H36" s="5">
        <f t="shared" si="1"/>
        <v>31090</v>
      </c>
      <c r="I36" s="5">
        <f t="shared" si="2"/>
        <v>11575</v>
      </c>
      <c r="J36" s="5">
        <f t="shared" si="3"/>
        <v>4630</v>
      </c>
      <c r="K36" s="5">
        <f t="shared" si="4"/>
        <v>3470</v>
      </c>
      <c r="L36" s="5"/>
      <c r="M36" s="5">
        <f t="shared" si="5"/>
        <v>8000</v>
      </c>
      <c r="N36" s="5"/>
      <c r="O36" s="5">
        <f>6017*$A$1</f>
        <v>6017</v>
      </c>
      <c r="P36" s="5"/>
      <c r="Q36" s="33"/>
      <c r="R36" s="33">
        <v>8000</v>
      </c>
      <c r="S36" s="5"/>
      <c r="T36" s="14">
        <f t="shared" ref="T36:T37" si="12">C36*0.2</f>
        <v>6473.8</v>
      </c>
      <c r="U36" s="85">
        <f t="shared" ref="U36:U37" si="13">C36*0.06</f>
        <v>1942.1399999999999</v>
      </c>
      <c r="V36" s="6"/>
      <c r="W36" s="6"/>
      <c r="X36" s="6"/>
    </row>
    <row r="37" spans="2:24" ht="11.25">
      <c r="B37" s="49" t="s">
        <v>31</v>
      </c>
      <c r="C37" s="58">
        <v>32369</v>
      </c>
      <c r="D37" s="5"/>
      <c r="E37" s="5"/>
      <c r="F37" s="5"/>
      <c r="G37" s="5">
        <f t="shared" si="0"/>
        <v>624</v>
      </c>
      <c r="H37" s="5">
        <f t="shared" si="1"/>
        <v>31090</v>
      </c>
      <c r="I37" s="5">
        <f t="shared" si="2"/>
        <v>11575</v>
      </c>
      <c r="J37" s="5">
        <f t="shared" si="3"/>
        <v>4630</v>
      </c>
      <c r="K37" s="5">
        <f t="shared" si="4"/>
        <v>3470</v>
      </c>
      <c r="L37" s="5"/>
      <c r="M37" s="5">
        <f t="shared" si="5"/>
        <v>8000</v>
      </c>
      <c r="N37" s="19">
        <f>2663*$A$1</f>
        <v>2663</v>
      </c>
      <c r="O37" s="32"/>
      <c r="P37" s="19">
        <f>1859*$A$1</f>
        <v>1859</v>
      </c>
      <c r="Q37" s="33"/>
      <c r="R37" s="33">
        <v>8000</v>
      </c>
      <c r="S37" s="5"/>
      <c r="T37" s="14">
        <f t="shared" si="12"/>
        <v>6473.8</v>
      </c>
      <c r="U37" s="85">
        <f t="shared" si="13"/>
        <v>1942.1399999999999</v>
      </c>
      <c r="V37" s="6"/>
      <c r="W37" s="6"/>
      <c r="X37" s="6"/>
    </row>
    <row r="38" spans="2:24" ht="11.25">
      <c r="B38" s="50" t="s">
        <v>1</v>
      </c>
      <c r="C38" s="58"/>
      <c r="D38" s="5"/>
      <c r="E38" s="5"/>
      <c r="F38" s="5"/>
      <c r="G38" s="5"/>
      <c r="H38" s="5"/>
      <c r="I38" s="5"/>
      <c r="J38" s="5"/>
      <c r="K38" s="5"/>
      <c r="L38" s="5"/>
      <c r="M38" s="5"/>
      <c r="N38" s="19"/>
      <c r="O38" s="19"/>
      <c r="P38" s="19"/>
      <c r="Q38" s="33"/>
      <c r="R38" s="33"/>
      <c r="S38" s="5"/>
      <c r="T38" s="14"/>
      <c r="U38" s="85"/>
      <c r="V38" s="6"/>
      <c r="W38" s="6"/>
      <c r="X38" s="6"/>
    </row>
    <row r="39" spans="2:24" ht="11.25">
      <c r="B39" s="49" t="s">
        <v>34</v>
      </c>
      <c r="C39" s="58">
        <v>32369</v>
      </c>
      <c r="D39" s="5"/>
      <c r="E39" s="5"/>
      <c r="F39" s="5"/>
      <c r="G39" s="5">
        <f t="shared" si="0"/>
        <v>624</v>
      </c>
      <c r="H39" s="5">
        <f t="shared" si="1"/>
        <v>31090</v>
      </c>
      <c r="I39" s="5">
        <f t="shared" si="2"/>
        <v>11575</v>
      </c>
      <c r="J39" s="5">
        <f t="shared" si="3"/>
        <v>4630</v>
      </c>
      <c r="K39" s="5">
        <f t="shared" si="4"/>
        <v>3470</v>
      </c>
      <c r="L39" s="5"/>
      <c r="M39" s="5">
        <f t="shared" si="5"/>
        <v>8000</v>
      </c>
      <c r="N39" s="19"/>
      <c r="O39" s="32"/>
      <c r="P39" s="19">
        <f>1859*$A$1</f>
        <v>1859</v>
      </c>
      <c r="Q39" s="33"/>
      <c r="R39" s="33">
        <v>8000</v>
      </c>
      <c r="S39" s="5"/>
      <c r="T39" s="14">
        <f t="shared" ref="T39:T40" si="14">C39*0.2</f>
        <v>6473.8</v>
      </c>
      <c r="U39" s="85">
        <f t="shared" ref="U39:U40" si="15">C39*0.06</f>
        <v>1942.1399999999999</v>
      </c>
      <c r="V39" s="6"/>
      <c r="W39" s="6"/>
      <c r="X39" s="6"/>
    </row>
    <row r="40" spans="2:24" ht="11.25">
      <c r="B40" s="49" t="s">
        <v>33</v>
      </c>
      <c r="C40" s="58">
        <v>32369</v>
      </c>
      <c r="D40" s="5"/>
      <c r="E40" s="5"/>
      <c r="F40" s="5"/>
      <c r="G40" s="5">
        <f t="shared" si="0"/>
        <v>624</v>
      </c>
      <c r="H40" s="5">
        <f t="shared" si="1"/>
        <v>31090</v>
      </c>
      <c r="I40" s="5">
        <f t="shared" si="2"/>
        <v>11575</v>
      </c>
      <c r="J40" s="5">
        <f t="shared" si="3"/>
        <v>4630</v>
      </c>
      <c r="K40" s="5">
        <f t="shared" si="4"/>
        <v>3470</v>
      </c>
      <c r="L40" s="5"/>
      <c r="M40" s="5">
        <f t="shared" si="5"/>
        <v>8000</v>
      </c>
      <c r="N40" s="19"/>
      <c r="O40" s="19">
        <f>6017*$A$1</f>
        <v>6017</v>
      </c>
      <c r="P40" s="19"/>
      <c r="Q40" s="33"/>
      <c r="R40" s="33">
        <v>8000</v>
      </c>
      <c r="S40" s="5"/>
      <c r="T40" s="14">
        <f t="shared" si="14"/>
        <v>6473.8</v>
      </c>
      <c r="U40" s="85">
        <f t="shared" si="15"/>
        <v>1942.1399999999999</v>
      </c>
      <c r="V40" s="6"/>
      <c r="W40" s="6"/>
      <c r="X40" s="6"/>
    </row>
    <row r="41" spans="2:24" ht="11.25">
      <c r="B41" s="52" t="s">
        <v>13</v>
      </c>
      <c r="C41" s="58"/>
      <c r="D41" s="5"/>
      <c r="E41" s="5"/>
      <c r="F41" s="5"/>
      <c r="G41" s="5"/>
      <c r="H41" s="5"/>
      <c r="I41" s="5"/>
      <c r="J41" s="5"/>
      <c r="K41" s="5"/>
      <c r="L41" s="5"/>
      <c r="M41" s="5"/>
      <c r="N41" s="19"/>
      <c r="O41" s="19"/>
      <c r="P41" s="19"/>
      <c r="Q41" s="33"/>
      <c r="R41" s="33"/>
      <c r="S41" s="5"/>
      <c r="T41" s="14"/>
      <c r="U41" s="85"/>
      <c r="V41" s="6"/>
      <c r="W41" s="6"/>
      <c r="X41" s="6"/>
    </row>
    <row r="42" spans="2:24" ht="11.25">
      <c r="B42" s="49" t="s">
        <v>28</v>
      </c>
      <c r="C42" s="58">
        <v>32369</v>
      </c>
      <c r="D42" s="5"/>
      <c r="E42" s="5"/>
      <c r="F42" s="5"/>
      <c r="G42" s="5">
        <f t="shared" si="0"/>
        <v>624</v>
      </c>
      <c r="H42" s="5">
        <f t="shared" si="1"/>
        <v>31090</v>
      </c>
      <c r="I42" s="5">
        <f t="shared" si="2"/>
        <v>11575</v>
      </c>
      <c r="J42" s="5">
        <f t="shared" si="3"/>
        <v>4630</v>
      </c>
      <c r="K42" s="5">
        <f t="shared" si="4"/>
        <v>3470</v>
      </c>
      <c r="L42" s="5"/>
      <c r="M42" s="5">
        <f t="shared" si="5"/>
        <v>8000</v>
      </c>
      <c r="N42" s="19"/>
      <c r="O42" s="19">
        <f>6017*$A$1</f>
        <v>6017</v>
      </c>
      <c r="P42" s="19"/>
      <c r="Q42" s="33">
        <v>1899.04</v>
      </c>
      <c r="R42" s="33">
        <v>8000</v>
      </c>
      <c r="S42" s="5"/>
      <c r="T42" s="14">
        <f t="shared" ref="T42:T43" si="16">C42*0.2</f>
        <v>6473.8</v>
      </c>
      <c r="U42" s="85">
        <f t="shared" ref="U42:U43" si="17">C42*0.06</f>
        <v>1942.1399999999999</v>
      </c>
      <c r="V42" s="6"/>
      <c r="W42" s="6"/>
      <c r="X42" s="6"/>
    </row>
    <row r="43" spans="2:24" ht="11.25">
      <c r="B43" s="49" t="s">
        <v>29</v>
      </c>
      <c r="C43" s="58">
        <v>32369</v>
      </c>
      <c r="D43" s="5"/>
      <c r="E43" s="5"/>
      <c r="F43" s="5"/>
      <c r="G43" s="5">
        <f t="shared" si="0"/>
        <v>624</v>
      </c>
      <c r="H43" s="5">
        <f t="shared" si="1"/>
        <v>31090</v>
      </c>
      <c r="I43" s="5">
        <f t="shared" si="2"/>
        <v>11575</v>
      </c>
      <c r="J43" s="5">
        <f t="shared" si="3"/>
        <v>4630</v>
      </c>
      <c r="K43" s="5">
        <f t="shared" si="4"/>
        <v>3470</v>
      </c>
      <c r="L43" s="5"/>
      <c r="M43" s="5">
        <f t="shared" si="5"/>
        <v>8000</v>
      </c>
      <c r="N43" s="19">
        <f>2663*$A$1</f>
        <v>2663</v>
      </c>
      <c r="O43" s="32"/>
      <c r="P43" s="19">
        <f>1859*$A$1</f>
        <v>1859</v>
      </c>
      <c r="Q43" s="33">
        <v>1899.05</v>
      </c>
      <c r="R43" s="33">
        <v>8000</v>
      </c>
      <c r="S43" s="5"/>
      <c r="T43" s="14">
        <f t="shared" si="16"/>
        <v>6473.8</v>
      </c>
      <c r="U43" s="85">
        <f t="shared" si="17"/>
        <v>1942.1399999999999</v>
      </c>
      <c r="V43" s="6"/>
      <c r="W43" s="6"/>
      <c r="X43" s="6"/>
    </row>
    <row r="44" spans="2:24" ht="11.25">
      <c r="B44" s="53" t="s">
        <v>5</v>
      </c>
      <c r="C44" s="58"/>
      <c r="D44" s="5"/>
      <c r="E44" s="5"/>
      <c r="F44" s="5"/>
      <c r="G44" s="5"/>
      <c r="H44" s="5"/>
      <c r="I44" s="5"/>
      <c r="J44" s="5"/>
      <c r="K44" s="5"/>
      <c r="L44" s="5"/>
      <c r="M44" s="5"/>
      <c r="N44" s="5"/>
      <c r="O44" s="5"/>
      <c r="P44" s="5"/>
      <c r="Q44" s="33"/>
      <c r="R44" s="33"/>
      <c r="S44" s="5"/>
      <c r="T44" s="14"/>
      <c r="U44" s="85"/>
      <c r="V44" s="6"/>
      <c r="W44" s="6"/>
      <c r="X44" s="6"/>
    </row>
    <row r="45" spans="2:24" ht="11.25">
      <c r="B45" s="49" t="s">
        <v>35</v>
      </c>
      <c r="C45" s="58">
        <v>32369</v>
      </c>
      <c r="D45" s="5"/>
      <c r="E45" s="5"/>
      <c r="F45" s="5"/>
      <c r="G45" s="5">
        <f t="shared" si="0"/>
        <v>624</v>
      </c>
      <c r="H45" s="5">
        <f t="shared" si="1"/>
        <v>31090</v>
      </c>
      <c r="I45" s="5">
        <f t="shared" si="2"/>
        <v>11575</v>
      </c>
      <c r="J45" s="5">
        <f t="shared" si="3"/>
        <v>4630</v>
      </c>
      <c r="K45" s="5">
        <f t="shared" si="4"/>
        <v>3470</v>
      </c>
      <c r="L45" s="5"/>
      <c r="M45" s="5">
        <f t="shared" si="5"/>
        <v>8000</v>
      </c>
      <c r="N45" s="5"/>
      <c r="O45" s="5"/>
      <c r="P45" s="5"/>
      <c r="Q45" s="33"/>
      <c r="R45" s="33">
        <v>8000</v>
      </c>
      <c r="S45" s="5"/>
      <c r="T45" s="14">
        <f>C45*0.2</f>
        <v>6473.8</v>
      </c>
      <c r="U45" s="85">
        <f>C45*0.06</f>
        <v>1942.1399999999999</v>
      </c>
      <c r="V45" s="6"/>
      <c r="W45" s="6"/>
      <c r="X45" s="6"/>
    </row>
    <row r="46" spans="2:24" ht="11.25">
      <c r="B46" s="51" t="s">
        <v>8</v>
      </c>
      <c r="C46" s="58"/>
      <c r="D46" s="5"/>
      <c r="E46" s="5"/>
      <c r="F46" s="5"/>
      <c r="G46" s="5"/>
      <c r="H46" s="5"/>
      <c r="I46" s="5"/>
      <c r="J46" s="5"/>
      <c r="K46" s="5"/>
      <c r="L46" s="5"/>
      <c r="M46" s="5"/>
      <c r="N46" s="5"/>
      <c r="O46" s="5"/>
      <c r="P46" s="5"/>
      <c r="Q46" s="33"/>
      <c r="R46" s="33"/>
      <c r="S46" s="5"/>
      <c r="T46" s="14"/>
      <c r="U46" s="85"/>
      <c r="V46" s="6"/>
      <c r="W46" s="6"/>
      <c r="X46" s="6"/>
    </row>
    <row r="47" spans="2:24" ht="11.25">
      <c r="B47" s="49" t="s">
        <v>32</v>
      </c>
      <c r="C47" s="58">
        <v>32369</v>
      </c>
      <c r="D47" s="5"/>
      <c r="E47" s="5"/>
      <c r="F47" s="5"/>
      <c r="G47" s="5">
        <f t="shared" si="0"/>
        <v>624</v>
      </c>
      <c r="H47" s="5">
        <f t="shared" si="1"/>
        <v>31090</v>
      </c>
      <c r="I47" s="5">
        <f t="shared" si="2"/>
        <v>11575</v>
      </c>
      <c r="J47" s="5">
        <f t="shared" si="3"/>
        <v>4630</v>
      </c>
      <c r="K47" s="5">
        <f t="shared" si="4"/>
        <v>3470</v>
      </c>
      <c r="L47" s="5"/>
      <c r="M47" s="5">
        <f t="shared" si="5"/>
        <v>8000</v>
      </c>
      <c r="N47" s="5"/>
      <c r="O47" s="5"/>
      <c r="P47" s="5"/>
      <c r="Q47" s="33"/>
      <c r="R47" s="33">
        <v>8000</v>
      </c>
      <c r="S47" s="5"/>
      <c r="T47" s="14">
        <f>C47*0.2</f>
        <v>6473.8</v>
      </c>
      <c r="U47" s="85">
        <f>C47*0.06</f>
        <v>1942.1399999999999</v>
      </c>
      <c r="V47" s="6"/>
      <c r="W47" s="6"/>
      <c r="X47" s="6"/>
    </row>
    <row r="48" spans="2:24" ht="11.25">
      <c r="B48" s="50" t="s">
        <v>12</v>
      </c>
      <c r="C48" s="58"/>
      <c r="D48" s="5"/>
      <c r="E48" s="5"/>
      <c r="F48" s="5"/>
      <c r="G48" s="5"/>
      <c r="H48" s="5"/>
      <c r="I48" s="5"/>
      <c r="J48" s="5"/>
      <c r="K48" s="5"/>
      <c r="L48" s="5"/>
      <c r="M48" s="5"/>
      <c r="N48" s="5"/>
      <c r="O48" s="5"/>
      <c r="P48" s="5"/>
      <c r="Q48" s="33"/>
      <c r="R48" s="33"/>
      <c r="S48" s="5"/>
      <c r="T48" s="14"/>
      <c r="U48" s="85"/>
      <c r="V48" s="6"/>
      <c r="W48" s="6"/>
      <c r="X48" s="6"/>
    </row>
    <row r="49" spans="1:41" ht="11.25">
      <c r="B49" s="49" t="s">
        <v>30</v>
      </c>
      <c r="C49" s="58">
        <v>32369</v>
      </c>
      <c r="D49" s="5"/>
      <c r="E49" s="5"/>
      <c r="F49" s="5"/>
      <c r="G49" s="5">
        <f t="shared" si="0"/>
        <v>624</v>
      </c>
      <c r="H49" s="5">
        <f t="shared" si="1"/>
        <v>31090</v>
      </c>
      <c r="I49" s="5">
        <f t="shared" si="2"/>
        <v>11575</v>
      </c>
      <c r="J49" s="5">
        <f t="shared" si="3"/>
        <v>4630</v>
      </c>
      <c r="K49" s="5">
        <f t="shared" si="4"/>
        <v>3470</v>
      </c>
      <c r="L49" s="5"/>
      <c r="M49" s="5">
        <f t="shared" si="5"/>
        <v>8000</v>
      </c>
      <c r="N49" s="8"/>
      <c r="O49" s="8"/>
      <c r="P49" s="8"/>
      <c r="Q49" s="33"/>
      <c r="R49" s="33">
        <v>8000</v>
      </c>
      <c r="S49" s="5"/>
      <c r="T49" s="14">
        <f>C49*0.2</f>
        <v>6473.8</v>
      </c>
      <c r="U49" s="85">
        <f>C49*0.06</f>
        <v>1942.1399999999999</v>
      </c>
    </row>
    <row r="50" spans="1:41" ht="11.25">
      <c r="B50" s="54"/>
      <c r="C50" s="15"/>
      <c r="D50" s="16"/>
      <c r="E50" s="16"/>
      <c r="F50" s="16"/>
      <c r="G50" s="16"/>
      <c r="H50" s="16"/>
      <c r="I50" s="16"/>
      <c r="J50" s="16"/>
      <c r="K50" s="16"/>
      <c r="L50" s="16"/>
      <c r="M50" s="16"/>
      <c r="N50" s="17"/>
      <c r="O50" s="17"/>
      <c r="P50" s="17"/>
      <c r="Q50" s="34"/>
      <c r="R50" s="34"/>
      <c r="S50" s="16"/>
      <c r="T50" s="18"/>
      <c r="U50" s="86"/>
    </row>
    <row r="51" spans="1:41" s="26" customFormat="1">
      <c r="A51" s="21"/>
      <c r="B51" s="27" t="s">
        <v>79</v>
      </c>
      <c r="C51" s="28">
        <f t="shared" ref="C51:K51" si="18">SUM(C9:C49)</f>
        <v>1068177</v>
      </c>
      <c r="D51" s="28">
        <f t="shared" si="18"/>
        <v>0</v>
      </c>
      <c r="E51" s="28">
        <f t="shared" si="18"/>
        <v>0</v>
      </c>
      <c r="F51" s="28">
        <f t="shared" si="18"/>
        <v>0</v>
      </c>
      <c r="G51" s="28">
        <f t="shared" si="18"/>
        <v>20592</v>
      </c>
      <c r="H51" s="28">
        <f t="shared" si="18"/>
        <v>1025970</v>
      </c>
      <c r="I51" s="28">
        <f t="shared" si="18"/>
        <v>381975</v>
      </c>
      <c r="J51" s="28">
        <f t="shared" si="18"/>
        <v>152790</v>
      </c>
      <c r="K51" s="28">
        <f t="shared" si="18"/>
        <v>111040</v>
      </c>
      <c r="L51" s="28"/>
      <c r="M51" s="28">
        <f t="shared" ref="M51:U51" si="19">SUM(M9:M49)</f>
        <v>264000</v>
      </c>
      <c r="N51" s="28">
        <f t="shared" si="19"/>
        <v>33978</v>
      </c>
      <c r="O51" s="28">
        <f t="shared" si="19"/>
        <v>90291</v>
      </c>
      <c r="P51" s="28">
        <f t="shared" si="19"/>
        <v>27895</v>
      </c>
      <c r="Q51" s="28">
        <f t="shared" si="19"/>
        <v>16135.09</v>
      </c>
      <c r="R51" s="28">
        <f t="shared" si="19"/>
        <v>264000</v>
      </c>
      <c r="S51" s="28"/>
      <c r="T51" s="28">
        <f t="shared" si="19"/>
        <v>213635.39999999991</v>
      </c>
      <c r="U51" s="87">
        <f t="shared" si="19"/>
        <v>64090.619999999988</v>
      </c>
      <c r="V51" s="25"/>
      <c r="W51" s="25"/>
      <c r="X51" s="25"/>
      <c r="Y51" s="25"/>
      <c r="Z51" s="25"/>
      <c r="AA51" s="25"/>
      <c r="AB51" s="25"/>
      <c r="AC51" s="25"/>
      <c r="AD51" s="25"/>
      <c r="AE51" s="25"/>
      <c r="AF51" s="25"/>
      <c r="AG51" s="25"/>
      <c r="AH51" s="25"/>
      <c r="AI51" s="25"/>
      <c r="AJ51" s="25"/>
      <c r="AK51" s="25"/>
      <c r="AL51" s="25"/>
      <c r="AM51" s="25"/>
      <c r="AN51" s="25"/>
      <c r="AO51" s="25"/>
    </row>
    <row r="52" spans="1:41" s="29" customFormat="1" ht="6.75" customHeight="1" thickBot="1">
      <c r="B52" s="55"/>
      <c r="C52" s="59"/>
      <c r="D52" s="30"/>
      <c r="E52" s="30"/>
      <c r="F52" s="30"/>
      <c r="G52" s="30"/>
      <c r="H52" s="30"/>
      <c r="I52" s="30"/>
      <c r="J52" s="30"/>
      <c r="K52" s="30"/>
      <c r="L52" s="30"/>
      <c r="M52" s="30"/>
      <c r="N52" s="30"/>
      <c r="O52" s="30"/>
      <c r="P52" s="30"/>
      <c r="Q52" s="30"/>
      <c r="R52" s="30"/>
      <c r="S52" s="30"/>
      <c r="T52" s="30"/>
      <c r="U52" s="46"/>
    </row>
    <row r="53" spans="1:41" ht="13.5" thickTop="1">
      <c r="B53" s="10" t="s">
        <v>59</v>
      </c>
      <c r="C53" s="2" t="s">
        <v>60</v>
      </c>
    </row>
    <row r="54" spans="1:41">
      <c r="B54" s="10" t="s">
        <v>66</v>
      </c>
      <c r="C54" s="2" t="s">
        <v>69</v>
      </c>
    </row>
    <row r="55" spans="1:41">
      <c r="B55" s="10" t="s">
        <v>70</v>
      </c>
      <c r="C55" s="2" t="s">
        <v>71</v>
      </c>
    </row>
    <row r="56" spans="1:41">
      <c r="B56" s="10" t="s">
        <v>74</v>
      </c>
      <c r="C56" s="2" t="s">
        <v>75</v>
      </c>
    </row>
    <row r="57" spans="1:41">
      <c r="B57" s="10" t="s">
        <v>83</v>
      </c>
      <c r="C57" s="2" t="s">
        <v>88</v>
      </c>
    </row>
    <row r="58" spans="1:41">
      <c r="B58" s="10" t="s">
        <v>86</v>
      </c>
      <c r="C58" s="2" t="s">
        <v>89</v>
      </c>
    </row>
    <row r="59" spans="1:41">
      <c r="B59" s="10" t="s">
        <v>87</v>
      </c>
      <c r="C59" s="100" t="s">
        <v>96</v>
      </c>
    </row>
    <row r="64" spans="1:41">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row r="90" spans="2:2">
      <c r="B90" s="11"/>
    </row>
  </sheetData>
  <mergeCells count="7">
    <mergeCell ref="B1:V1"/>
    <mergeCell ref="B2:V2"/>
    <mergeCell ref="B3:V3"/>
    <mergeCell ref="B4:V4"/>
    <mergeCell ref="C6:P6"/>
    <mergeCell ref="Q6:R6"/>
    <mergeCell ref="T6:U6"/>
  </mergeCells>
  <printOptions horizontalCentered="1"/>
  <pageMargins left="0.51181102362204722" right="0.31496062992125984" top="0.39370078740157483" bottom="0.74803149606299213" header="0.31496062992125984" footer="0.31496062992125984"/>
  <pageSetup paperSize="5" scale="70" orientation="landscape"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AN89"/>
  <sheetViews>
    <sheetView workbookViewId="0">
      <pane xSplit="2" ySplit="8" topLeftCell="C48" activePane="bottomRight" state="frozen"/>
      <selection pane="topRight" activeCell="C1" sqref="C1"/>
      <selection pane="bottomLeft" activeCell="A9" sqref="A9"/>
      <selection pane="bottomRight" activeCell="C59" sqref="C59"/>
    </sheetView>
  </sheetViews>
  <sheetFormatPr baseColWidth="10" defaultColWidth="11.42578125" defaultRowHeight="12.75"/>
  <cols>
    <col min="1" max="1" width="1.5703125" style="2" customWidth="1"/>
    <col min="2" max="2" width="32.140625" style="12" customWidth="1"/>
    <col min="3" max="3" width="12.85546875" style="2" customWidth="1"/>
    <col min="4" max="4" width="11.140625" style="2" customWidth="1"/>
    <col min="5" max="5" width="10.5703125" style="2" customWidth="1"/>
    <col min="6" max="6" width="12" style="2" customWidth="1"/>
    <col min="7" max="7" width="9.85546875" style="2" bestFit="1" customWidth="1"/>
    <col min="8" max="8" width="12.85546875" style="2" customWidth="1"/>
    <col min="9" max="9" width="12" style="2" customWidth="1"/>
    <col min="10" max="11" width="11.28515625" style="2" bestFit="1" customWidth="1"/>
    <col min="12" max="12" width="2.7109375" style="2" bestFit="1" customWidth="1"/>
    <col min="13" max="13" width="11.28515625" style="2" bestFit="1" customWidth="1"/>
    <col min="14" max="14" width="9.85546875" style="2" bestFit="1" customWidth="1"/>
    <col min="15" max="15" width="11.28515625" style="2" bestFit="1" customWidth="1"/>
    <col min="16" max="16" width="10.85546875" style="2" customWidth="1"/>
    <col min="17" max="17" width="12.28515625" style="2" customWidth="1"/>
    <col min="18" max="18" width="12.28515625" style="2" bestFit="1" customWidth="1"/>
    <col min="19" max="19" width="2.5703125" style="2" customWidth="1"/>
    <col min="20" max="20" width="9.85546875" style="2" bestFit="1" customWidth="1"/>
    <col min="21" max="21" width="3.7109375" style="2" customWidth="1"/>
    <col min="22" max="16384" width="11.42578125" style="2"/>
  </cols>
  <sheetData>
    <row r="1" spans="1:40" ht="18.75">
      <c r="A1" s="2">
        <v>1</v>
      </c>
      <c r="B1" s="93" t="s">
        <v>48</v>
      </c>
      <c r="C1" s="93"/>
      <c r="D1" s="93"/>
      <c r="E1" s="93"/>
      <c r="F1" s="93"/>
      <c r="G1" s="93"/>
      <c r="H1" s="93"/>
      <c r="I1" s="93"/>
      <c r="J1" s="93"/>
      <c r="K1" s="93"/>
      <c r="L1" s="93"/>
      <c r="M1" s="93"/>
      <c r="N1" s="93"/>
      <c r="O1" s="93"/>
      <c r="P1" s="93"/>
      <c r="Q1" s="93"/>
      <c r="R1" s="93"/>
      <c r="S1" s="93"/>
      <c r="T1" s="93"/>
      <c r="U1" s="93"/>
    </row>
    <row r="2" spans="1:40" ht="15.75">
      <c r="B2" s="94" t="s">
        <v>54</v>
      </c>
      <c r="C2" s="94"/>
      <c r="D2" s="94"/>
      <c r="E2" s="94"/>
      <c r="F2" s="94"/>
      <c r="G2" s="94"/>
      <c r="H2" s="94"/>
      <c r="I2" s="94"/>
      <c r="J2" s="94"/>
      <c r="K2" s="94"/>
      <c r="L2" s="94"/>
      <c r="M2" s="94"/>
      <c r="N2" s="94"/>
      <c r="O2" s="94"/>
      <c r="P2" s="94"/>
      <c r="Q2" s="94"/>
      <c r="R2" s="94"/>
      <c r="S2" s="94"/>
      <c r="T2" s="94"/>
      <c r="U2" s="94"/>
    </row>
    <row r="3" spans="1:40" ht="15.75">
      <c r="B3" s="94" t="s">
        <v>65</v>
      </c>
      <c r="C3" s="94"/>
      <c r="D3" s="94"/>
      <c r="E3" s="94"/>
      <c r="F3" s="94"/>
      <c r="G3" s="94"/>
      <c r="H3" s="94"/>
      <c r="I3" s="94"/>
      <c r="J3" s="94"/>
      <c r="K3" s="94"/>
      <c r="L3" s="94"/>
      <c r="M3" s="94"/>
      <c r="N3" s="94"/>
      <c r="O3" s="94"/>
      <c r="P3" s="94"/>
      <c r="Q3" s="94"/>
      <c r="R3" s="94"/>
      <c r="S3" s="94"/>
      <c r="T3" s="94"/>
      <c r="U3" s="94"/>
      <c r="V3" s="1"/>
      <c r="W3" s="1"/>
      <c r="X3" s="1"/>
      <c r="Y3" s="1"/>
      <c r="Z3" s="1"/>
      <c r="AA3" s="1"/>
      <c r="AB3" s="1"/>
      <c r="AC3" s="1"/>
      <c r="AD3" s="1"/>
      <c r="AE3" s="1"/>
      <c r="AF3" s="1"/>
      <c r="AG3" s="1"/>
      <c r="AH3" s="1"/>
      <c r="AI3" s="1"/>
      <c r="AJ3" s="1"/>
      <c r="AK3" s="1"/>
      <c r="AL3" s="1"/>
      <c r="AM3" s="1"/>
      <c r="AN3" s="1"/>
    </row>
    <row r="4" spans="1:40" ht="15.75">
      <c r="B4" s="94" t="s">
        <v>77</v>
      </c>
      <c r="C4" s="94"/>
      <c r="D4" s="94"/>
      <c r="E4" s="94"/>
      <c r="F4" s="94"/>
      <c r="G4" s="94"/>
      <c r="H4" s="94"/>
      <c r="I4" s="94"/>
      <c r="J4" s="94"/>
      <c r="K4" s="94"/>
      <c r="L4" s="94"/>
      <c r="M4" s="94"/>
      <c r="N4" s="94"/>
      <c r="O4" s="94"/>
      <c r="P4" s="94"/>
      <c r="Q4" s="94"/>
      <c r="R4" s="94"/>
      <c r="S4" s="94"/>
      <c r="T4" s="94"/>
      <c r="U4" s="94"/>
      <c r="V4" s="1"/>
      <c r="W4" s="1"/>
      <c r="X4" s="1"/>
      <c r="Y4" s="1"/>
      <c r="Z4" s="1"/>
      <c r="AA4" s="1"/>
      <c r="AB4" s="1"/>
      <c r="AC4" s="1"/>
      <c r="AD4" s="1"/>
      <c r="AE4" s="1"/>
      <c r="AF4" s="1"/>
      <c r="AG4" s="1"/>
      <c r="AH4" s="1"/>
      <c r="AI4" s="1"/>
      <c r="AJ4" s="1"/>
      <c r="AK4" s="1"/>
      <c r="AL4" s="1"/>
      <c r="AM4" s="1"/>
      <c r="AN4" s="1"/>
    </row>
    <row r="5" spans="1:40" ht="16.5" thickBot="1">
      <c r="B5" s="82"/>
      <c r="C5" s="82"/>
      <c r="D5" s="82"/>
      <c r="E5" s="82"/>
      <c r="F5" s="82"/>
      <c r="G5" s="82"/>
      <c r="H5" s="82"/>
      <c r="I5" s="82"/>
      <c r="J5" s="82"/>
      <c r="K5" s="82"/>
      <c r="L5" s="82"/>
      <c r="M5" s="82"/>
      <c r="N5" s="82"/>
      <c r="O5" s="82"/>
      <c r="P5" s="82"/>
      <c r="Q5" s="82"/>
      <c r="R5" s="82"/>
      <c r="S5" s="90"/>
      <c r="T5" s="82"/>
      <c r="U5" s="82"/>
      <c r="V5" s="1"/>
      <c r="W5" s="1"/>
      <c r="X5" s="1"/>
      <c r="Y5" s="1"/>
      <c r="Z5" s="1"/>
      <c r="AA5" s="1"/>
      <c r="AB5" s="1"/>
      <c r="AC5" s="1"/>
      <c r="AD5" s="1"/>
      <c r="AE5" s="1"/>
      <c r="AF5" s="1"/>
      <c r="AG5" s="1"/>
      <c r="AH5" s="1"/>
      <c r="AI5" s="1"/>
      <c r="AJ5" s="1"/>
      <c r="AK5" s="1"/>
      <c r="AL5" s="1"/>
      <c r="AM5" s="1"/>
      <c r="AN5" s="1"/>
    </row>
    <row r="6" spans="1:40" ht="20.25" thickTop="1" thickBot="1">
      <c r="B6" s="31"/>
      <c r="C6" s="95" t="s">
        <v>68</v>
      </c>
      <c r="D6" s="96"/>
      <c r="E6" s="96"/>
      <c r="F6" s="96"/>
      <c r="G6" s="96"/>
      <c r="H6" s="96"/>
      <c r="I6" s="96"/>
      <c r="J6" s="96"/>
      <c r="K6" s="96"/>
      <c r="L6" s="96"/>
      <c r="M6" s="96"/>
      <c r="N6" s="96"/>
      <c r="O6" s="96"/>
      <c r="P6" s="97"/>
      <c r="Q6" s="95" t="s">
        <v>72</v>
      </c>
      <c r="R6" s="97"/>
      <c r="S6" s="95" t="s">
        <v>73</v>
      </c>
      <c r="T6" s="97"/>
      <c r="U6" s="31"/>
      <c r="V6" s="1"/>
      <c r="W6" s="1"/>
      <c r="X6" s="1"/>
      <c r="Y6" s="1"/>
      <c r="Z6" s="1"/>
      <c r="AA6" s="1"/>
      <c r="AB6" s="1"/>
      <c r="AC6" s="1"/>
      <c r="AD6" s="1"/>
      <c r="AE6" s="1"/>
      <c r="AF6" s="1"/>
      <c r="AG6" s="1"/>
      <c r="AH6" s="1"/>
      <c r="AI6" s="1"/>
      <c r="AJ6" s="1"/>
      <c r="AK6" s="1"/>
      <c r="AL6" s="1"/>
      <c r="AM6" s="1"/>
      <c r="AN6" s="1"/>
    </row>
    <row r="7" spans="1:40" s="3" customFormat="1" ht="37.5" customHeight="1" thickTop="1" thickBot="1">
      <c r="A7" s="2"/>
      <c r="B7" s="47"/>
      <c r="C7" s="56" t="s">
        <v>46</v>
      </c>
      <c r="D7" s="20" t="s">
        <v>62</v>
      </c>
      <c r="E7" s="20" t="s">
        <v>63</v>
      </c>
      <c r="F7" s="20" t="s">
        <v>58</v>
      </c>
      <c r="G7" s="20" t="s">
        <v>55</v>
      </c>
      <c r="H7" s="20" t="s">
        <v>45</v>
      </c>
      <c r="I7" s="20" t="s">
        <v>49</v>
      </c>
      <c r="J7" s="20" t="s">
        <v>50</v>
      </c>
      <c r="K7" s="20" t="s">
        <v>51</v>
      </c>
      <c r="L7" s="20"/>
      <c r="M7" s="20" t="s">
        <v>9</v>
      </c>
      <c r="N7" s="20" t="s">
        <v>0</v>
      </c>
      <c r="O7" s="20" t="s">
        <v>56</v>
      </c>
      <c r="P7" s="20" t="s">
        <v>57</v>
      </c>
      <c r="Q7" s="20" t="s">
        <v>84</v>
      </c>
      <c r="R7" s="20" t="s">
        <v>85</v>
      </c>
      <c r="S7" s="20"/>
      <c r="T7" s="88" t="s">
        <v>10</v>
      </c>
      <c r="U7" s="1"/>
      <c r="V7" s="1"/>
      <c r="W7" s="1"/>
      <c r="X7" s="1"/>
      <c r="Y7" s="1"/>
      <c r="Z7" s="1"/>
      <c r="AA7" s="1"/>
      <c r="AB7" s="1"/>
      <c r="AC7" s="1"/>
      <c r="AD7" s="1"/>
      <c r="AE7" s="1"/>
      <c r="AF7" s="1"/>
      <c r="AG7" s="1"/>
      <c r="AH7" s="1"/>
      <c r="AI7" s="1"/>
      <c r="AJ7" s="1"/>
      <c r="AK7" s="1"/>
      <c r="AL7" s="1"/>
      <c r="AM7" s="1"/>
      <c r="AN7" s="1"/>
    </row>
    <row r="8" spans="1:40" ht="12" thickTop="1">
      <c r="B8" s="48" t="s">
        <v>3</v>
      </c>
      <c r="C8" s="57"/>
      <c r="D8" s="4"/>
      <c r="E8" s="4"/>
      <c r="F8" s="4"/>
      <c r="G8" s="4"/>
      <c r="H8" s="4"/>
      <c r="I8" s="4"/>
      <c r="J8" s="4"/>
      <c r="K8" s="4"/>
      <c r="L8" s="4"/>
      <c r="M8" s="4"/>
      <c r="N8" s="4"/>
      <c r="O8" s="4"/>
      <c r="P8" s="4"/>
      <c r="Q8" s="13"/>
      <c r="R8" s="13"/>
      <c r="S8" s="4"/>
      <c r="T8" s="84"/>
      <c r="U8" s="1"/>
      <c r="V8" s="1"/>
      <c r="W8" s="1"/>
      <c r="X8" s="1"/>
      <c r="Y8" s="1"/>
      <c r="Z8" s="1"/>
      <c r="AA8" s="1"/>
      <c r="AB8" s="1"/>
      <c r="AC8" s="1"/>
      <c r="AD8" s="1"/>
      <c r="AE8" s="1"/>
      <c r="AF8" s="1"/>
      <c r="AG8" s="1"/>
      <c r="AH8" s="1"/>
      <c r="AI8" s="1"/>
      <c r="AJ8" s="1"/>
      <c r="AK8" s="1"/>
      <c r="AL8" s="1"/>
      <c r="AM8" s="1"/>
      <c r="AN8" s="1"/>
    </row>
    <row r="9" spans="1:40" ht="11.25">
      <c r="B9" s="49" t="s">
        <v>40</v>
      </c>
      <c r="C9" s="58">
        <v>32369</v>
      </c>
      <c r="D9" s="5"/>
      <c r="E9" s="5"/>
      <c r="F9" s="5"/>
      <c r="G9" s="5">
        <f t="shared" ref="G9:G49" si="0">624*$A$1</f>
        <v>624</v>
      </c>
      <c r="H9" s="5">
        <f t="shared" ref="H9:H49" si="1">31090*$A$1</f>
        <v>31090</v>
      </c>
      <c r="I9" s="5">
        <f t="shared" ref="I9:I49" si="2">11575*$A$1</f>
        <v>11575</v>
      </c>
      <c r="J9" s="5">
        <f t="shared" ref="J9:J49" si="3">4630*$A$1</f>
        <v>4630</v>
      </c>
      <c r="K9" s="5">
        <f t="shared" ref="K9:K49" si="4">3470*$A$1</f>
        <v>3470</v>
      </c>
      <c r="L9" s="5"/>
      <c r="M9" s="5">
        <f t="shared" ref="M9:M49" si="5">8000*$A$1</f>
        <v>8000</v>
      </c>
      <c r="N9" s="5"/>
      <c r="O9" s="5">
        <f>48160*1</f>
        <v>48160</v>
      </c>
      <c r="P9" s="5"/>
      <c r="Q9" s="83">
        <v>39991</v>
      </c>
      <c r="R9" s="33">
        <v>28940</v>
      </c>
      <c r="S9" s="5"/>
      <c r="T9" s="85">
        <f>C9*0.06</f>
        <v>1942.1399999999999</v>
      </c>
      <c r="U9" s="6"/>
      <c r="V9" s="6"/>
      <c r="W9" s="6"/>
    </row>
    <row r="10" spans="1:40" ht="11.25">
      <c r="B10" s="49" t="s">
        <v>16</v>
      </c>
      <c r="C10" s="58">
        <v>32369</v>
      </c>
      <c r="D10" s="5"/>
      <c r="E10" s="5"/>
      <c r="F10" s="5"/>
      <c r="G10" s="5">
        <f t="shared" si="0"/>
        <v>624</v>
      </c>
      <c r="H10" s="5">
        <f t="shared" si="1"/>
        <v>31090</v>
      </c>
      <c r="I10" s="5">
        <f t="shared" si="2"/>
        <v>11575</v>
      </c>
      <c r="J10" s="5">
        <f t="shared" si="3"/>
        <v>4630</v>
      </c>
      <c r="K10" s="5">
        <f t="shared" si="4"/>
        <v>3470</v>
      </c>
      <c r="L10" s="5"/>
      <c r="M10" s="5">
        <f t="shared" si="5"/>
        <v>8000</v>
      </c>
      <c r="N10" s="5"/>
      <c r="O10" s="5"/>
      <c r="P10" s="5"/>
      <c r="Q10" s="83">
        <v>25000</v>
      </c>
      <c r="R10" s="33">
        <v>28940</v>
      </c>
      <c r="S10" s="5"/>
      <c r="T10" s="85">
        <f t="shared" ref="T10:T24" si="6">C10*0.06</f>
        <v>1942.1399999999999</v>
      </c>
      <c r="U10" s="6"/>
      <c r="V10" s="7"/>
      <c r="W10" s="7"/>
      <c r="X10" s="1"/>
      <c r="Y10" s="1"/>
      <c r="Z10" s="1"/>
      <c r="AA10" s="1"/>
      <c r="AB10" s="1"/>
      <c r="AC10" s="1"/>
      <c r="AD10" s="1"/>
      <c r="AE10" s="1"/>
      <c r="AF10" s="1"/>
      <c r="AG10" s="1"/>
      <c r="AH10" s="1"/>
      <c r="AI10" s="1"/>
      <c r="AJ10" s="1"/>
      <c r="AK10" s="1"/>
      <c r="AL10" s="1"/>
      <c r="AM10" s="1"/>
      <c r="AN10" s="1"/>
    </row>
    <row r="11" spans="1:40" ht="11.25">
      <c r="B11" s="49" t="s">
        <v>18</v>
      </c>
      <c r="C11" s="58">
        <v>32369</v>
      </c>
      <c r="D11" s="5"/>
      <c r="E11" s="5"/>
      <c r="F11" s="5"/>
      <c r="G11" s="5">
        <f t="shared" si="0"/>
        <v>624</v>
      </c>
      <c r="H11" s="5">
        <f t="shared" si="1"/>
        <v>31090</v>
      </c>
      <c r="I11" s="5">
        <f t="shared" si="2"/>
        <v>11575</v>
      </c>
      <c r="J11" s="5">
        <f t="shared" si="3"/>
        <v>4630</v>
      </c>
      <c r="K11" s="5">
        <f t="shared" si="4"/>
        <v>3470</v>
      </c>
      <c r="L11" s="5"/>
      <c r="M11" s="5">
        <f t="shared" si="5"/>
        <v>8000</v>
      </c>
      <c r="N11" s="5"/>
      <c r="O11" s="5"/>
      <c r="P11" s="5"/>
      <c r="Q11" s="83">
        <v>25000</v>
      </c>
      <c r="R11" s="33">
        <v>28940</v>
      </c>
      <c r="S11" s="5"/>
      <c r="T11" s="85">
        <f t="shared" si="6"/>
        <v>1942.1399999999999</v>
      </c>
      <c r="U11" s="6"/>
      <c r="V11" s="7"/>
      <c r="W11" s="7"/>
      <c r="X11" s="1"/>
      <c r="Y11" s="1"/>
      <c r="Z11" s="1"/>
      <c r="AA11" s="1"/>
      <c r="AB11" s="1"/>
      <c r="AC11" s="1"/>
      <c r="AD11" s="1"/>
      <c r="AE11" s="1"/>
      <c r="AF11" s="1"/>
      <c r="AG11" s="1"/>
      <c r="AH11" s="1"/>
      <c r="AI11" s="1"/>
      <c r="AJ11" s="1"/>
      <c r="AK11" s="1"/>
      <c r="AL11" s="1"/>
      <c r="AM11" s="1"/>
      <c r="AN11" s="1"/>
    </row>
    <row r="12" spans="1:40" ht="11.25">
      <c r="B12" s="49" t="s">
        <v>20</v>
      </c>
      <c r="C12" s="58">
        <v>32369</v>
      </c>
      <c r="D12" s="5"/>
      <c r="E12" s="5"/>
      <c r="F12" s="5"/>
      <c r="G12" s="5">
        <f t="shared" si="0"/>
        <v>624</v>
      </c>
      <c r="H12" s="5">
        <f t="shared" si="1"/>
        <v>31090</v>
      </c>
      <c r="I12" s="5">
        <f t="shared" si="2"/>
        <v>11575</v>
      </c>
      <c r="J12" s="5">
        <f t="shared" si="3"/>
        <v>4630</v>
      </c>
      <c r="K12" s="5">
        <f t="shared" si="4"/>
        <v>3470</v>
      </c>
      <c r="L12" s="5"/>
      <c r="M12" s="5">
        <f t="shared" si="5"/>
        <v>8000</v>
      </c>
      <c r="N12" s="5"/>
      <c r="O12" s="5"/>
      <c r="P12" s="5"/>
      <c r="Q12" s="83">
        <v>18373</v>
      </c>
      <c r="R12" s="33">
        <v>28940</v>
      </c>
      <c r="S12" s="5"/>
      <c r="T12" s="85">
        <f t="shared" si="6"/>
        <v>1942.1399999999999</v>
      </c>
      <c r="U12" s="6"/>
      <c r="V12" s="6"/>
      <c r="W12" s="6"/>
    </row>
    <row r="13" spans="1:40" ht="11.25">
      <c r="B13" s="49" t="s">
        <v>23</v>
      </c>
      <c r="C13" s="58">
        <v>32369</v>
      </c>
      <c r="D13" s="5"/>
      <c r="E13" s="5"/>
      <c r="F13" s="5"/>
      <c r="G13" s="5">
        <f t="shared" si="0"/>
        <v>624</v>
      </c>
      <c r="H13" s="5">
        <f t="shared" si="1"/>
        <v>31090</v>
      </c>
      <c r="I13" s="5">
        <f t="shared" si="2"/>
        <v>11575</v>
      </c>
      <c r="J13" s="5">
        <f t="shared" si="3"/>
        <v>4630</v>
      </c>
      <c r="K13" s="5">
        <f t="shared" si="4"/>
        <v>3470</v>
      </c>
      <c r="L13" s="5"/>
      <c r="M13" s="5">
        <f t="shared" si="5"/>
        <v>8000</v>
      </c>
      <c r="N13" s="5">
        <f>4000*1</f>
        <v>4000</v>
      </c>
      <c r="O13" s="5"/>
      <c r="P13" s="5"/>
      <c r="Q13" s="33">
        <v>25000</v>
      </c>
      <c r="R13" s="33">
        <v>28940</v>
      </c>
      <c r="S13" s="5"/>
      <c r="T13" s="85">
        <f t="shared" si="6"/>
        <v>1942.1399999999999</v>
      </c>
      <c r="U13" s="6"/>
      <c r="V13" s="6"/>
      <c r="W13" s="6"/>
    </row>
    <row r="14" spans="1:40" ht="11.25">
      <c r="B14" s="49" t="s">
        <v>38</v>
      </c>
      <c r="C14" s="58">
        <v>32369</v>
      </c>
      <c r="D14" s="5"/>
      <c r="E14" s="5"/>
      <c r="F14" s="5"/>
      <c r="G14" s="5">
        <f t="shared" si="0"/>
        <v>624</v>
      </c>
      <c r="H14" s="5">
        <f t="shared" si="1"/>
        <v>31090</v>
      </c>
      <c r="I14" s="5">
        <f t="shared" si="2"/>
        <v>11575</v>
      </c>
      <c r="J14" s="5">
        <f t="shared" si="3"/>
        <v>4630</v>
      </c>
      <c r="K14" s="5">
        <f t="shared" si="4"/>
        <v>3470</v>
      </c>
      <c r="L14" s="5"/>
      <c r="M14" s="5">
        <f t="shared" si="5"/>
        <v>8000</v>
      </c>
      <c r="N14" s="5">
        <f>2663*1</f>
        <v>2663</v>
      </c>
      <c r="O14" s="5"/>
      <c r="P14" s="5">
        <v>0</v>
      </c>
      <c r="Q14" s="33">
        <v>25000</v>
      </c>
      <c r="R14" s="33">
        <v>28940</v>
      </c>
      <c r="S14" s="5"/>
      <c r="T14" s="85">
        <f t="shared" si="6"/>
        <v>1942.1399999999999</v>
      </c>
      <c r="U14" s="6"/>
      <c r="V14" s="6"/>
      <c r="W14" s="6"/>
    </row>
    <row r="15" spans="1:40" ht="11.25">
      <c r="B15" s="49" t="s">
        <v>41</v>
      </c>
      <c r="C15" s="58">
        <v>32369</v>
      </c>
      <c r="D15" s="5"/>
      <c r="E15" s="5"/>
      <c r="F15" s="5"/>
      <c r="G15" s="5">
        <f t="shared" si="0"/>
        <v>624</v>
      </c>
      <c r="H15" s="5">
        <f t="shared" si="1"/>
        <v>31090</v>
      </c>
      <c r="I15" s="5">
        <f t="shared" si="2"/>
        <v>11575</v>
      </c>
      <c r="J15" s="5">
        <f t="shared" si="3"/>
        <v>4630</v>
      </c>
      <c r="K15" s="5">
        <v>0</v>
      </c>
      <c r="L15" s="9" t="s">
        <v>59</v>
      </c>
      <c r="M15" s="5">
        <f t="shared" si="5"/>
        <v>8000</v>
      </c>
      <c r="N15" s="5">
        <f>10000*$A$1</f>
        <v>10000</v>
      </c>
      <c r="O15" s="5"/>
      <c r="P15" s="5"/>
      <c r="Q15" s="33">
        <v>4432.34</v>
      </c>
      <c r="R15" s="33">
        <v>20940</v>
      </c>
      <c r="S15" s="89" t="s">
        <v>87</v>
      </c>
      <c r="T15" s="85">
        <f t="shared" si="6"/>
        <v>1942.1399999999999</v>
      </c>
      <c r="U15" s="6"/>
      <c r="V15" s="6"/>
      <c r="W15" s="6"/>
    </row>
    <row r="16" spans="1:40" ht="11.25">
      <c r="B16" s="49" t="s">
        <v>43</v>
      </c>
      <c r="C16" s="58">
        <v>32369</v>
      </c>
      <c r="D16" s="5"/>
      <c r="E16" s="5"/>
      <c r="F16" s="5"/>
      <c r="G16" s="5">
        <f t="shared" si="0"/>
        <v>624</v>
      </c>
      <c r="H16" s="5">
        <f t="shared" si="1"/>
        <v>31090</v>
      </c>
      <c r="I16" s="5">
        <f t="shared" si="2"/>
        <v>11575</v>
      </c>
      <c r="J16" s="5">
        <f t="shared" si="3"/>
        <v>4630</v>
      </c>
      <c r="K16" s="5">
        <f t="shared" si="4"/>
        <v>3470</v>
      </c>
      <c r="L16" s="5"/>
      <c r="M16" s="5">
        <f t="shared" si="5"/>
        <v>8000</v>
      </c>
      <c r="N16" s="5">
        <f>2663*$A$1</f>
        <v>2663</v>
      </c>
      <c r="O16" s="5"/>
      <c r="P16" s="5"/>
      <c r="Q16" s="33">
        <v>25000</v>
      </c>
      <c r="R16" s="33">
        <v>28940</v>
      </c>
      <c r="S16" s="5"/>
      <c r="T16" s="85">
        <f t="shared" si="6"/>
        <v>1942.1399999999999</v>
      </c>
      <c r="U16" s="6"/>
      <c r="V16" s="6"/>
      <c r="W16" s="6"/>
    </row>
    <row r="17" spans="2:40" ht="11.25">
      <c r="B17" s="49" t="s">
        <v>14</v>
      </c>
      <c r="C17" s="58">
        <v>32369</v>
      </c>
      <c r="D17" s="5"/>
      <c r="E17" s="5"/>
      <c r="F17" s="5"/>
      <c r="G17" s="5">
        <f>624*$A$1</f>
        <v>624</v>
      </c>
      <c r="H17" s="5">
        <f>31090*$A$1</f>
        <v>31090</v>
      </c>
      <c r="I17" s="5">
        <f>11575*$A$1</f>
        <v>11575</v>
      </c>
      <c r="J17" s="5">
        <f>4630*$A$1</f>
        <v>4630</v>
      </c>
      <c r="K17" s="5">
        <f>3470*$A$1</f>
        <v>3470</v>
      </c>
      <c r="L17" s="5"/>
      <c r="M17" s="5">
        <f>8000*$A$1</f>
        <v>8000</v>
      </c>
      <c r="N17" s="5"/>
      <c r="O17" s="5"/>
      <c r="P17" s="5"/>
      <c r="Q17" s="33">
        <v>19012.91</v>
      </c>
      <c r="R17" s="33">
        <v>8000</v>
      </c>
      <c r="S17" s="5"/>
      <c r="T17" s="85">
        <f t="shared" si="6"/>
        <v>1942.1399999999999</v>
      </c>
      <c r="U17" s="6"/>
      <c r="V17" s="7"/>
      <c r="W17" s="7"/>
      <c r="X17" s="1"/>
      <c r="Y17" s="1"/>
      <c r="Z17" s="1"/>
      <c r="AA17" s="1"/>
      <c r="AB17" s="1"/>
      <c r="AC17" s="1"/>
      <c r="AD17" s="1"/>
      <c r="AE17" s="1"/>
      <c r="AF17" s="1"/>
      <c r="AG17" s="1"/>
      <c r="AH17" s="1"/>
      <c r="AI17" s="1"/>
      <c r="AJ17" s="1"/>
      <c r="AK17" s="1"/>
      <c r="AL17" s="1"/>
      <c r="AM17" s="1"/>
      <c r="AN17" s="1"/>
    </row>
    <row r="18" spans="2:40" ht="11.25">
      <c r="B18" s="49" t="s">
        <v>17</v>
      </c>
      <c r="C18" s="58">
        <v>32369</v>
      </c>
      <c r="D18" s="5"/>
      <c r="E18" s="5"/>
      <c r="F18" s="5"/>
      <c r="G18" s="5">
        <f t="shared" si="0"/>
        <v>624</v>
      </c>
      <c r="H18" s="5">
        <f t="shared" si="1"/>
        <v>31090</v>
      </c>
      <c r="I18" s="5">
        <f t="shared" si="2"/>
        <v>11575</v>
      </c>
      <c r="J18" s="5">
        <f t="shared" si="3"/>
        <v>4630</v>
      </c>
      <c r="K18" s="5">
        <f t="shared" si="4"/>
        <v>3470</v>
      </c>
      <c r="L18" s="5"/>
      <c r="M18" s="5">
        <f t="shared" si="5"/>
        <v>8000</v>
      </c>
      <c r="N18" s="5"/>
      <c r="O18" s="8"/>
      <c r="P18" s="5">
        <f>14878*1</f>
        <v>14878</v>
      </c>
      <c r="Q18" s="33">
        <v>25000</v>
      </c>
      <c r="R18" s="33">
        <v>28940</v>
      </c>
      <c r="S18" s="5"/>
      <c r="T18" s="85">
        <f t="shared" si="6"/>
        <v>1942.1399999999999</v>
      </c>
      <c r="U18" s="6"/>
      <c r="V18" s="7"/>
      <c r="W18" s="7"/>
      <c r="X18" s="1"/>
      <c r="Y18" s="1"/>
      <c r="Z18" s="1"/>
      <c r="AA18" s="1"/>
      <c r="AB18" s="1"/>
      <c r="AC18" s="1"/>
      <c r="AD18" s="1"/>
      <c r="AE18" s="1"/>
      <c r="AF18" s="1"/>
      <c r="AG18" s="1"/>
      <c r="AH18" s="1"/>
      <c r="AI18" s="1"/>
      <c r="AJ18" s="1"/>
      <c r="AK18" s="1"/>
      <c r="AL18" s="1"/>
      <c r="AM18" s="1"/>
      <c r="AN18" s="1"/>
    </row>
    <row r="19" spans="2:40" ht="11.25">
      <c r="B19" s="49" t="s">
        <v>19</v>
      </c>
      <c r="C19" s="58">
        <v>32369</v>
      </c>
      <c r="D19" s="5"/>
      <c r="E19" s="5"/>
      <c r="F19" s="5"/>
      <c r="G19" s="5">
        <f t="shared" si="0"/>
        <v>624</v>
      </c>
      <c r="H19" s="5">
        <f t="shared" si="1"/>
        <v>31090</v>
      </c>
      <c r="I19" s="5">
        <f t="shared" si="2"/>
        <v>11575</v>
      </c>
      <c r="J19" s="5">
        <f t="shared" si="3"/>
        <v>4630</v>
      </c>
      <c r="K19" s="5">
        <f t="shared" si="4"/>
        <v>3470</v>
      </c>
      <c r="L19" s="5"/>
      <c r="M19" s="5">
        <f t="shared" si="5"/>
        <v>8000</v>
      </c>
      <c r="N19" s="5"/>
      <c r="O19" s="5"/>
      <c r="P19" s="5"/>
      <c r="Q19" s="33">
        <v>21651.78</v>
      </c>
      <c r="R19" s="33">
        <v>28574</v>
      </c>
      <c r="S19" s="5"/>
      <c r="T19" s="85">
        <f t="shared" si="6"/>
        <v>1942.1399999999999</v>
      </c>
      <c r="U19" s="6"/>
      <c r="V19" s="6"/>
      <c r="W19" s="6"/>
    </row>
    <row r="20" spans="2:40" ht="11.25">
      <c r="B20" s="49" t="s">
        <v>21</v>
      </c>
      <c r="C20" s="58">
        <v>32369</v>
      </c>
      <c r="D20" s="5"/>
      <c r="E20" s="5"/>
      <c r="F20" s="5"/>
      <c r="G20" s="5">
        <f t="shared" si="0"/>
        <v>624</v>
      </c>
      <c r="H20" s="5">
        <f t="shared" si="1"/>
        <v>31090</v>
      </c>
      <c r="I20" s="5">
        <f t="shared" si="2"/>
        <v>11575</v>
      </c>
      <c r="J20" s="5">
        <f t="shared" si="3"/>
        <v>4630</v>
      </c>
      <c r="K20" s="5">
        <f t="shared" si="4"/>
        <v>3470</v>
      </c>
      <c r="L20" s="5"/>
      <c r="M20" s="5">
        <f t="shared" si="5"/>
        <v>8000</v>
      </c>
      <c r="N20" s="5"/>
      <c r="O20" s="5"/>
      <c r="P20" s="5"/>
      <c r="Q20" s="33">
        <v>25000</v>
      </c>
      <c r="R20" s="33">
        <v>23969.19</v>
      </c>
      <c r="S20" s="5"/>
      <c r="T20" s="85">
        <f t="shared" si="6"/>
        <v>1942.1399999999999</v>
      </c>
      <c r="U20" s="6"/>
      <c r="V20" s="6"/>
      <c r="W20" s="6"/>
    </row>
    <row r="21" spans="2:40" ht="11.25">
      <c r="B21" s="49" t="s">
        <v>24</v>
      </c>
      <c r="C21" s="58">
        <v>32369</v>
      </c>
      <c r="D21" s="5"/>
      <c r="E21" s="5"/>
      <c r="F21" s="5"/>
      <c r="G21" s="5">
        <f t="shared" si="0"/>
        <v>624</v>
      </c>
      <c r="H21" s="5">
        <f t="shared" si="1"/>
        <v>31090</v>
      </c>
      <c r="I21" s="5">
        <f t="shared" si="2"/>
        <v>11575</v>
      </c>
      <c r="J21" s="5">
        <f t="shared" si="3"/>
        <v>4630</v>
      </c>
      <c r="K21" s="5">
        <f t="shared" si="4"/>
        <v>3470</v>
      </c>
      <c r="L21" s="5"/>
      <c r="M21" s="5">
        <f t="shared" si="5"/>
        <v>8000</v>
      </c>
      <c r="N21" s="5"/>
      <c r="O21" s="5"/>
      <c r="P21" s="5"/>
      <c r="Q21" s="33">
        <v>25000</v>
      </c>
      <c r="R21" s="33">
        <v>28940</v>
      </c>
      <c r="S21" s="5"/>
      <c r="T21" s="85">
        <f t="shared" si="6"/>
        <v>1942.1399999999999</v>
      </c>
      <c r="U21" s="6"/>
      <c r="V21" s="6"/>
      <c r="W21" s="6"/>
    </row>
    <row r="22" spans="2:40" ht="11.25">
      <c r="B22" s="49" t="s">
        <v>39</v>
      </c>
      <c r="C22" s="58">
        <v>32369</v>
      </c>
      <c r="D22" s="5"/>
      <c r="E22" s="5"/>
      <c r="F22" s="5"/>
      <c r="G22" s="5">
        <f t="shared" si="0"/>
        <v>624</v>
      </c>
      <c r="H22" s="5">
        <f t="shared" si="1"/>
        <v>31090</v>
      </c>
      <c r="I22" s="5">
        <f t="shared" si="2"/>
        <v>11575</v>
      </c>
      <c r="J22" s="5">
        <f t="shared" si="3"/>
        <v>4630</v>
      </c>
      <c r="K22" s="5">
        <f t="shared" si="4"/>
        <v>3470</v>
      </c>
      <c r="L22" s="5"/>
      <c r="M22" s="5">
        <f t="shared" si="5"/>
        <v>8000</v>
      </c>
      <c r="N22" s="5"/>
      <c r="O22" s="5"/>
      <c r="P22" s="5"/>
      <c r="Q22" s="33">
        <v>0</v>
      </c>
      <c r="R22" s="33">
        <v>8000</v>
      </c>
      <c r="S22" s="5"/>
      <c r="T22" s="85">
        <f t="shared" si="6"/>
        <v>1942.1399999999999</v>
      </c>
      <c r="U22" s="6"/>
      <c r="V22" s="6"/>
      <c r="W22" s="6"/>
    </row>
    <row r="23" spans="2:40" ht="11.25">
      <c r="B23" s="49" t="s">
        <v>42</v>
      </c>
      <c r="C23" s="58">
        <v>32369</v>
      </c>
      <c r="D23" s="5"/>
      <c r="E23" s="5"/>
      <c r="F23" s="5"/>
      <c r="G23" s="5">
        <f t="shared" si="0"/>
        <v>624</v>
      </c>
      <c r="H23" s="5">
        <f t="shared" si="1"/>
        <v>31090</v>
      </c>
      <c r="I23" s="5">
        <f t="shared" si="2"/>
        <v>11575</v>
      </c>
      <c r="J23" s="5">
        <f t="shared" si="3"/>
        <v>4630</v>
      </c>
      <c r="K23" s="5">
        <f t="shared" si="4"/>
        <v>3470</v>
      </c>
      <c r="L23" s="5"/>
      <c r="M23" s="5">
        <f t="shared" si="5"/>
        <v>8000</v>
      </c>
      <c r="N23" s="5"/>
      <c r="O23" s="5"/>
      <c r="P23" s="5"/>
      <c r="Q23" s="33">
        <v>25000</v>
      </c>
      <c r="R23" s="33">
        <v>28940</v>
      </c>
      <c r="S23" s="5"/>
      <c r="T23" s="85">
        <f t="shared" si="6"/>
        <v>1942.1399999999999</v>
      </c>
      <c r="U23" s="6"/>
      <c r="V23" s="6"/>
      <c r="W23" s="6"/>
    </row>
    <row r="24" spans="2:40" ht="11.25">
      <c r="B24" s="49" t="s">
        <v>44</v>
      </c>
      <c r="C24" s="58">
        <v>32369</v>
      </c>
      <c r="D24" s="5"/>
      <c r="E24" s="5"/>
      <c r="F24" s="5"/>
      <c r="G24" s="5">
        <f t="shared" si="0"/>
        <v>624</v>
      </c>
      <c r="H24" s="5">
        <f t="shared" si="1"/>
        <v>31090</v>
      </c>
      <c r="I24" s="5">
        <f t="shared" si="2"/>
        <v>11575</v>
      </c>
      <c r="J24" s="5">
        <f t="shared" si="3"/>
        <v>4630</v>
      </c>
      <c r="K24" s="5">
        <f t="shared" si="4"/>
        <v>3470</v>
      </c>
      <c r="L24" s="5"/>
      <c r="M24" s="5">
        <f t="shared" si="5"/>
        <v>8000</v>
      </c>
      <c r="N24" s="5"/>
      <c r="O24" s="5"/>
      <c r="P24" s="5"/>
      <c r="Q24" s="33">
        <v>25000</v>
      </c>
      <c r="R24" s="33">
        <v>28940</v>
      </c>
      <c r="S24" s="5"/>
      <c r="T24" s="85">
        <f t="shared" si="6"/>
        <v>1942.1399999999999</v>
      </c>
      <c r="U24" s="6"/>
      <c r="V24" s="6"/>
      <c r="W24" s="6"/>
    </row>
    <row r="25" spans="2:40" ht="11.25">
      <c r="B25" s="50" t="s">
        <v>2</v>
      </c>
      <c r="C25" s="58"/>
      <c r="D25" s="5"/>
      <c r="E25" s="5"/>
      <c r="F25" s="5"/>
      <c r="G25" s="5"/>
      <c r="H25" s="5"/>
      <c r="I25" s="5"/>
      <c r="J25" s="5"/>
      <c r="K25" s="5"/>
      <c r="L25" s="5"/>
      <c r="M25" s="5"/>
      <c r="N25" s="5"/>
      <c r="O25" s="5"/>
      <c r="P25" s="5"/>
      <c r="Q25" s="33"/>
      <c r="R25" s="33"/>
      <c r="S25" s="5"/>
      <c r="T25" s="85"/>
      <c r="U25" s="6"/>
      <c r="V25" s="6"/>
      <c r="W25" s="6"/>
    </row>
    <row r="26" spans="2:40" ht="11.25">
      <c r="B26" s="49" t="s">
        <v>15</v>
      </c>
      <c r="C26" s="58">
        <v>32369</v>
      </c>
      <c r="D26" s="5"/>
      <c r="E26" s="5"/>
      <c r="F26" s="5"/>
      <c r="G26" s="5">
        <f t="shared" si="0"/>
        <v>624</v>
      </c>
      <c r="H26" s="5">
        <f t="shared" si="1"/>
        <v>31090</v>
      </c>
      <c r="I26" s="5">
        <f t="shared" si="2"/>
        <v>11575</v>
      </c>
      <c r="J26" s="5">
        <f t="shared" si="3"/>
        <v>4630</v>
      </c>
      <c r="K26" s="5">
        <f t="shared" si="4"/>
        <v>3470</v>
      </c>
      <c r="L26" s="5"/>
      <c r="M26" s="5">
        <f t="shared" si="5"/>
        <v>8000</v>
      </c>
      <c r="N26" s="5"/>
      <c r="O26" s="8"/>
      <c r="P26" s="5">
        <f>4650*$A$1</f>
        <v>4650</v>
      </c>
      <c r="Q26" s="33">
        <v>23578.2</v>
      </c>
      <c r="R26" s="33">
        <v>28900</v>
      </c>
      <c r="S26" s="5"/>
      <c r="T26" s="85">
        <f t="shared" ref="T26:T30" si="7">C26*0.06</f>
        <v>1942.1399999999999</v>
      </c>
      <c r="U26" s="6"/>
      <c r="V26" s="6"/>
      <c r="W26" s="6"/>
    </row>
    <row r="27" spans="2:40" ht="11.25">
      <c r="B27" s="49" t="s">
        <v>47</v>
      </c>
      <c r="C27" s="58">
        <v>32369</v>
      </c>
      <c r="D27" s="5"/>
      <c r="E27" s="5"/>
      <c r="F27" s="5"/>
      <c r="G27" s="5">
        <f t="shared" si="0"/>
        <v>624</v>
      </c>
      <c r="H27" s="5">
        <f t="shared" si="1"/>
        <v>31090</v>
      </c>
      <c r="I27" s="5">
        <f t="shared" si="2"/>
        <v>11575</v>
      </c>
      <c r="J27" s="5">
        <f t="shared" si="3"/>
        <v>4630</v>
      </c>
      <c r="K27" s="5">
        <f t="shared" si="4"/>
        <v>3470</v>
      </c>
      <c r="L27" s="5"/>
      <c r="M27" s="5">
        <f t="shared" si="5"/>
        <v>8000</v>
      </c>
      <c r="N27" s="5">
        <f>4000*$A$1</f>
        <v>4000</v>
      </c>
      <c r="O27" s="5"/>
      <c r="P27" s="5"/>
      <c r="Q27" s="33">
        <v>25000</v>
      </c>
      <c r="R27" s="33">
        <v>28900</v>
      </c>
      <c r="S27" s="5"/>
      <c r="T27" s="85">
        <f t="shared" si="7"/>
        <v>1942.1399999999999</v>
      </c>
      <c r="U27" s="6"/>
      <c r="V27" s="6"/>
      <c r="W27" s="6"/>
    </row>
    <row r="28" spans="2:40" ht="11.25">
      <c r="B28" s="49" t="s">
        <v>22</v>
      </c>
      <c r="C28" s="58">
        <v>32369</v>
      </c>
      <c r="D28" s="5"/>
      <c r="E28" s="5"/>
      <c r="F28" s="5"/>
      <c r="G28" s="5">
        <f t="shared" si="0"/>
        <v>624</v>
      </c>
      <c r="H28" s="5">
        <f t="shared" si="1"/>
        <v>31090</v>
      </c>
      <c r="I28" s="5">
        <f t="shared" si="2"/>
        <v>11575</v>
      </c>
      <c r="J28" s="5">
        <f t="shared" si="3"/>
        <v>4630</v>
      </c>
      <c r="K28" s="5">
        <f t="shared" si="4"/>
        <v>3470</v>
      </c>
      <c r="L28" s="5"/>
      <c r="M28" s="5">
        <f t="shared" si="5"/>
        <v>8000</v>
      </c>
      <c r="N28" s="5"/>
      <c r="O28" s="5"/>
      <c r="P28" s="5"/>
      <c r="Q28" s="33">
        <v>25000</v>
      </c>
      <c r="R28" s="33">
        <v>28940</v>
      </c>
      <c r="S28" s="5"/>
      <c r="T28" s="85">
        <f t="shared" si="7"/>
        <v>1942.1399999999999</v>
      </c>
      <c r="U28" s="6"/>
      <c r="V28" s="6"/>
      <c r="W28" s="6"/>
    </row>
    <row r="29" spans="2:40" ht="11.25">
      <c r="B29" s="49" t="s">
        <v>36</v>
      </c>
      <c r="C29" s="58">
        <v>32369</v>
      </c>
      <c r="D29" s="5"/>
      <c r="E29" s="5"/>
      <c r="F29" s="5"/>
      <c r="G29" s="5">
        <f t="shared" si="0"/>
        <v>624</v>
      </c>
      <c r="H29" s="5">
        <f t="shared" si="1"/>
        <v>31090</v>
      </c>
      <c r="I29" s="5">
        <f t="shared" si="2"/>
        <v>11575</v>
      </c>
      <c r="J29" s="5">
        <f t="shared" si="3"/>
        <v>4630</v>
      </c>
      <c r="K29" s="5">
        <f t="shared" si="4"/>
        <v>3470</v>
      </c>
      <c r="L29" s="5"/>
      <c r="M29" s="5">
        <f t="shared" si="5"/>
        <v>8000</v>
      </c>
      <c r="N29" s="5"/>
      <c r="O29" s="5">
        <f>15050*$A$1</f>
        <v>15050</v>
      </c>
      <c r="P29" s="5"/>
      <c r="Q29" s="83">
        <v>35000</v>
      </c>
      <c r="R29" s="33">
        <v>28940</v>
      </c>
      <c r="S29" s="5"/>
      <c r="T29" s="85">
        <f t="shared" si="7"/>
        <v>1942.1399999999999</v>
      </c>
      <c r="U29" s="6"/>
      <c r="V29" s="6"/>
      <c r="W29" s="6"/>
    </row>
    <row r="30" spans="2:40" ht="11.25">
      <c r="B30" s="49" t="s">
        <v>37</v>
      </c>
      <c r="C30" s="58">
        <v>32369</v>
      </c>
      <c r="D30" s="5"/>
      <c r="E30" s="5"/>
      <c r="F30" s="5"/>
      <c r="G30" s="5">
        <f t="shared" si="0"/>
        <v>624</v>
      </c>
      <c r="H30" s="5">
        <f t="shared" si="1"/>
        <v>31090</v>
      </c>
      <c r="I30" s="5">
        <f t="shared" si="2"/>
        <v>11575</v>
      </c>
      <c r="J30" s="5">
        <f t="shared" si="3"/>
        <v>4630</v>
      </c>
      <c r="K30" s="5">
        <f t="shared" si="4"/>
        <v>3470</v>
      </c>
      <c r="L30" s="5"/>
      <c r="M30" s="5">
        <f t="shared" si="5"/>
        <v>8000</v>
      </c>
      <c r="N30" s="5">
        <f>2663*$A$1</f>
        <v>2663</v>
      </c>
      <c r="O30" s="5"/>
      <c r="P30" s="5"/>
      <c r="Q30" s="33">
        <v>25000</v>
      </c>
      <c r="R30" s="33">
        <v>28870</v>
      </c>
      <c r="S30" s="5"/>
      <c r="T30" s="85">
        <f t="shared" si="7"/>
        <v>1942.1399999999999</v>
      </c>
      <c r="U30" s="6"/>
      <c r="V30" s="6"/>
      <c r="W30" s="6"/>
    </row>
    <row r="31" spans="2:40" ht="11.25">
      <c r="B31" s="50" t="s">
        <v>4</v>
      </c>
      <c r="C31" s="58"/>
      <c r="D31" s="5"/>
      <c r="E31" s="5"/>
      <c r="F31" s="5"/>
      <c r="G31" s="5"/>
      <c r="H31" s="5"/>
      <c r="I31" s="5"/>
      <c r="J31" s="5"/>
      <c r="K31" s="5"/>
      <c r="L31" s="5"/>
      <c r="M31" s="5"/>
      <c r="N31" s="5"/>
      <c r="O31" s="5"/>
      <c r="P31" s="5"/>
      <c r="Q31" s="33"/>
      <c r="R31" s="33"/>
      <c r="S31" s="5"/>
      <c r="T31" s="85"/>
      <c r="U31" s="6"/>
      <c r="V31" s="6"/>
      <c r="W31" s="6"/>
    </row>
    <row r="32" spans="2:40" ht="11.25">
      <c r="B32" s="49" t="s">
        <v>25</v>
      </c>
      <c r="C32" s="58">
        <v>32369</v>
      </c>
      <c r="D32" s="5"/>
      <c r="E32" s="5"/>
      <c r="F32" s="5"/>
      <c r="G32" s="5">
        <f t="shared" si="0"/>
        <v>624</v>
      </c>
      <c r="H32" s="5">
        <f t="shared" si="1"/>
        <v>31090</v>
      </c>
      <c r="I32" s="5">
        <f t="shared" si="2"/>
        <v>11575</v>
      </c>
      <c r="J32" s="5">
        <f t="shared" si="3"/>
        <v>4630</v>
      </c>
      <c r="K32" s="5">
        <f t="shared" si="4"/>
        <v>3470</v>
      </c>
      <c r="L32" s="5"/>
      <c r="M32" s="5">
        <f t="shared" si="5"/>
        <v>8000</v>
      </c>
      <c r="N32" s="5"/>
      <c r="O32" s="5">
        <f>9030*$A$1</f>
        <v>9030</v>
      </c>
      <c r="P32" s="5"/>
      <c r="Q32" s="33">
        <v>30000</v>
      </c>
      <c r="R32" s="33">
        <v>8000</v>
      </c>
      <c r="S32" s="5"/>
      <c r="T32" s="85">
        <f t="shared" ref="T32:T34" si="8">C32*0.06</f>
        <v>1942.1399999999999</v>
      </c>
      <c r="U32" s="6"/>
      <c r="V32" s="6"/>
      <c r="W32" s="6"/>
    </row>
    <row r="33" spans="2:23" ht="11.25">
      <c r="B33" s="49" t="s">
        <v>26</v>
      </c>
      <c r="C33" s="58">
        <v>32369</v>
      </c>
      <c r="D33" s="5"/>
      <c r="E33" s="5"/>
      <c r="F33" s="5"/>
      <c r="G33" s="5">
        <f t="shared" si="0"/>
        <v>624</v>
      </c>
      <c r="H33" s="5">
        <f t="shared" si="1"/>
        <v>31090</v>
      </c>
      <c r="I33" s="5">
        <f t="shared" si="2"/>
        <v>11575</v>
      </c>
      <c r="J33" s="5">
        <f t="shared" si="3"/>
        <v>4630</v>
      </c>
      <c r="K33" s="5">
        <f t="shared" si="4"/>
        <v>3470</v>
      </c>
      <c r="L33" s="5"/>
      <c r="M33" s="5">
        <f t="shared" si="5"/>
        <v>8000</v>
      </c>
      <c r="N33" s="19">
        <f>2663*$A$1</f>
        <v>2663</v>
      </c>
      <c r="O33" s="32"/>
      <c r="P33" s="19">
        <f>2790*$A$1</f>
        <v>2790</v>
      </c>
      <c r="Q33" s="33">
        <v>25000</v>
      </c>
      <c r="R33" s="33">
        <v>28940</v>
      </c>
      <c r="S33" s="5"/>
      <c r="T33" s="85">
        <f t="shared" si="8"/>
        <v>1942.1399999999999</v>
      </c>
      <c r="U33" s="6"/>
      <c r="V33" s="6"/>
      <c r="W33" s="6"/>
    </row>
    <row r="34" spans="2:23" ht="11.25">
      <c r="B34" s="49" t="s">
        <v>27</v>
      </c>
      <c r="C34" s="58">
        <v>32369</v>
      </c>
      <c r="D34" s="5"/>
      <c r="E34" s="5"/>
      <c r="F34" s="5"/>
      <c r="G34" s="5">
        <f t="shared" si="0"/>
        <v>624</v>
      </c>
      <c r="H34" s="5">
        <f t="shared" si="1"/>
        <v>31090</v>
      </c>
      <c r="I34" s="5">
        <f t="shared" si="2"/>
        <v>11575</v>
      </c>
      <c r="J34" s="5">
        <f t="shared" si="3"/>
        <v>4630</v>
      </c>
      <c r="K34" s="5">
        <f t="shared" si="4"/>
        <v>3470</v>
      </c>
      <c r="L34" s="5"/>
      <c r="M34" s="5">
        <f t="shared" si="5"/>
        <v>8000</v>
      </c>
      <c r="N34" s="5"/>
      <c r="O34" s="5"/>
      <c r="P34" s="5"/>
      <c r="Q34" s="33">
        <v>25000</v>
      </c>
      <c r="R34" s="33">
        <v>28136.44</v>
      </c>
      <c r="S34" s="5"/>
      <c r="T34" s="85">
        <f t="shared" si="8"/>
        <v>1942.1399999999999</v>
      </c>
      <c r="U34" s="6"/>
      <c r="V34" s="6"/>
      <c r="W34" s="6"/>
    </row>
    <row r="35" spans="2:23" ht="11.25">
      <c r="B35" s="51" t="s">
        <v>6</v>
      </c>
      <c r="C35" s="58"/>
      <c r="D35" s="5"/>
      <c r="E35" s="5"/>
      <c r="F35" s="5"/>
      <c r="G35" s="5"/>
      <c r="H35" s="5"/>
      <c r="I35" s="5"/>
      <c r="J35" s="5"/>
      <c r="K35" s="5"/>
      <c r="L35" s="5"/>
      <c r="M35" s="5"/>
      <c r="N35" s="5"/>
      <c r="O35" s="5"/>
      <c r="P35" s="5"/>
      <c r="Q35" s="33"/>
      <c r="R35" s="33"/>
      <c r="S35" s="5"/>
      <c r="T35" s="85"/>
      <c r="U35" s="6"/>
      <c r="V35" s="6"/>
      <c r="W35" s="6"/>
    </row>
    <row r="36" spans="2:23" ht="11.25">
      <c r="B36" s="49" t="s">
        <v>7</v>
      </c>
      <c r="C36" s="58">
        <v>32369</v>
      </c>
      <c r="D36" s="5"/>
      <c r="E36" s="5"/>
      <c r="F36" s="5"/>
      <c r="G36" s="5">
        <f t="shared" si="0"/>
        <v>624</v>
      </c>
      <c r="H36" s="5">
        <f t="shared" si="1"/>
        <v>31090</v>
      </c>
      <c r="I36" s="5">
        <f t="shared" si="2"/>
        <v>11575</v>
      </c>
      <c r="J36" s="5">
        <f t="shared" si="3"/>
        <v>4630</v>
      </c>
      <c r="K36" s="5">
        <f t="shared" si="4"/>
        <v>3470</v>
      </c>
      <c r="L36" s="5"/>
      <c r="M36" s="5">
        <f t="shared" si="5"/>
        <v>8000</v>
      </c>
      <c r="N36" s="5"/>
      <c r="O36" s="5">
        <f>6017*$A$1</f>
        <v>6017</v>
      </c>
      <c r="P36" s="5"/>
      <c r="Q36" s="33">
        <v>25000</v>
      </c>
      <c r="R36" s="33">
        <v>28940</v>
      </c>
      <c r="S36" s="5"/>
      <c r="T36" s="85">
        <f t="shared" ref="T36:T37" si="9">C36*0.06</f>
        <v>1942.1399999999999</v>
      </c>
      <c r="U36" s="6"/>
      <c r="V36" s="6"/>
      <c r="W36" s="6"/>
    </row>
    <row r="37" spans="2:23" ht="11.25">
      <c r="B37" s="49" t="s">
        <v>31</v>
      </c>
      <c r="C37" s="58">
        <v>32369</v>
      </c>
      <c r="D37" s="5"/>
      <c r="E37" s="5"/>
      <c r="F37" s="5"/>
      <c r="G37" s="5">
        <f t="shared" si="0"/>
        <v>624</v>
      </c>
      <c r="H37" s="5">
        <f t="shared" si="1"/>
        <v>31090</v>
      </c>
      <c r="I37" s="5">
        <f t="shared" si="2"/>
        <v>11575</v>
      </c>
      <c r="J37" s="5">
        <f t="shared" si="3"/>
        <v>4630</v>
      </c>
      <c r="K37" s="5">
        <f t="shared" si="4"/>
        <v>3470</v>
      </c>
      <c r="L37" s="5"/>
      <c r="M37" s="5">
        <f t="shared" si="5"/>
        <v>8000</v>
      </c>
      <c r="N37" s="19">
        <f>2663*$A$1</f>
        <v>2663</v>
      </c>
      <c r="O37" s="32"/>
      <c r="P37" s="19">
        <f>1859*$A$1</f>
        <v>1859</v>
      </c>
      <c r="Q37" s="33">
        <v>25000</v>
      </c>
      <c r="R37" s="33">
        <v>28940</v>
      </c>
      <c r="S37" s="5"/>
      <c r="T37" s="85">
        <f t="shared" si="9"/>
        <v>1942.1399999999999</v>
      </c>
      <c r="U37" s="6"/>
      <c r="V37" s="6"/>
      <c r="W37" s="6"/>
    </row>
    <row r="38" spans="2:23" ht="11.25">
      <c r="B38" s="50" t="s">
        <v>1</v>
      </c>
      <c r="C38" s="58"/>
      <c r="D38" s="5"/>
      <c r="E38" s="5"/>
      <c r="F38" s="5"/>
      <c r="G38" s="5"/>
      <c r="H38" s="5"/>
      <c r="I38" s="5"/>
      <c r="J38" s="5"/>
      <c r="K38" s="5"/>
      <c r="L38" s="5"/>
      <c r="M38" s="5"/>
      <c r="N38" s="19"/>
      <c r="O38" s="19"/>
      <c r="P38" s="19"/>
      <c r="Q38" s="33"/>
      <c r="R38" s="33"/>
      <c r="S38" s="5"/>
      <c r="T38" s="85"/>
      <c r="U38" s="6"/>
      <c r="V38" s="6"/>
      <c r="W38" s="6"/>
    </row>
    <row r="39" spans="2:23" ht="11.25">
      <c r="B39" s="49" t="s">
        <v>34</v>
      </c>
      <c r="C39" s="58">
        <v>32369</v>
      </c>
      <c r="D39" s="5"/>
      <c r="E39" s="5"/>
      <c r="F39" s="5"/>
      <c r="G39" s="5">
        <f t="shared" si="0"/>
        <v>624</v>
      </c>
      <c r="H39" s="5">
        <f t="shared" si="1"/>
        <v>31090</v>
      </c>
      <c r="I39" s="5">
        <f t="shared" si="2"/>
        <v>11575</v>
      </c>
      <c r="J39" s="5">
        <f t="shared" si="3"/>
        <v>4630</v>
      </c>
      <c r="K39" s="5">
        <f t="shared" si="4"/>
        <v>3470</v>
      </c>
      <c r="L39" s="5"/>
      <c r="M39" s="5">
        <f t="shared" si="5"/>
        <v>8000</v>
      </c>
      <c r="N39" s="19"/>
      <c r="O39" s="32"/>
      <c r="P39" s="19">
        <f>1859*$A$1</f>
        <v>1859</v>
      </c>
      <c r="Q39" s="33">
        <v>0</v>
      </c>
      <c r="R39" s="33">
        <v>8000</v>
      </c>
      <c r="S39" s="5"/>
      <c r="T39" s="85">
        <f t="shared" ref="T39:T40" si="10">C39*0.06</f>
        <v>1942.1399999999999</v>
      </c>
      <c r="U39" s="6"/>
      <c r="V39" s="6"/>
      <c r="W39" s="6"/>
    </row>
    <row r="40" spans="2:23" ht="11.25">
      <c r="B40" s="49" t="s">
        <v>33</v>
      </c>
      <c r="C40" s="58">
        <v>32369</v>
      </c>
      <c r="D40" s="5"/>
      <c r="E40" s="5"/>
      <c r="F40" s="5"/>
      <c r="G40" s="5">
        <f t="shared" si="0"/>
        <v>624</v>
      </c>
      <c r="H40" s="5">
        <f t="shared" si="1"/>
        <v>31090</v>
      </c>
      <c r="I40" s="5">
        <f t="shared" si="2"/>
        <v>11575</v>
      </c>
      <c r="J40" s="5">
        <f t="shared" si="3"/>
        <v>4630</v>
      </c>
      <c r="K40" s="5">
        <f t="shared" si="4"/>
        <v>3470</v>
      </c>
      <c r="L40" s="5"/>
      <c r="M40" s="5">
        <f t="shared" si="5"/>
        <v>8000</v>
      </c>
      <c r="N40" s="19"/>
      <c r="O40" s="19">
        <f>6017*$A$1</f>
        <v>6017</v>
      </c>
      <c r="P40" s="19"/>
      <c r="Q40" s="33">
        <v>25000</v>
      </c>
      <c r="R40" s="33">
        <v>28940</v>
      </c>
      <c r="S40" s="5"/>
      <c r="T40" s="85">
        <f t="shared" si="10"/>
        <v>1942.1399999999999</v>
      </c>
      <c r="U40" s="6"/>
      <c r="V40" s="6"/>
      <c r="W40" s="6"/>
    </row>
    <row r="41" spans="2:23" ht="11.25">
      <c r="B41" s="52" t="s">
        <v>13</v>
      </c>
      <c r="C41" s="58"/>
      <c r="D41" s="5"/>
      <c r="E41" s="5"/>
      <c r="F41" s="5"/>
      <c r="G41" s="5"/>
      <c r="H41" s="5"/>
      <c r="I41" s="5"/>
      <c r="J41" s="5"/>
      <c r="K41" s="5"/>
      <c r="L41" s="5"/>
      <c r="M41" s="5"/>
      <c r="N41" s="19"/>
      <c r="O41" s="19"/>
      <c r="P41" s="19"/>
      <c r="Q41" s="33"/>
      <c r="R41" s="33"/>
      <c r="S41" s="5"/>
      <c r="T41" s="85"/>
      <c r="U41" s="6"/>
      <c r="V41" s="6"/>
      <c r="W41" s="6"/>
    </row>
    <row r="42" spans="2:23" ht="11.25">
      <c r="B42" s="49" t="s">
        <v>28</v>
      </c>
      <c r="C42" s="58">
        <v>32369</v>
      </c>
      <c r="D42" s="5"/>
      <c r="E42" s="5"/>
      <c r="F42" s="5"/>
      <c r="G42" s="5">
        <f t="shared" si="0"/>
        <v>624</v>
      </c>
      <c r="H42" s="5">
        <f t="shared" si="1"/>
        <v>31090</v>
      </c>
      <c r="I42" s="5">
        <f t="shared" si="2"/>
        <v>11575</v>
      </c>
      <c r="J42" s="5">
        <f t="shared" si="3"/>
        <v>4630</v>
      </c>
      <c r="K42" s="5">
        <f t="shared" si="4"/>
        <v>3470</v>
      </c>
      <c r="L42" s="5"/>
      <c r="M42" s="5">
        <f t="shared" si="5"/>
        <v>8000</v>
      </c>
      <c r="N42" s="19"/>
      <c r="O42" s="19">
        <f>6017*$A$1</f>
        <v>6017</v>
      </c>
      <c r="P42" s="19"/>
      <c r="Q42" s="33">
        <v>23100.95</v>
      </c>
      <c r="R42" s="33">
        <v>28940</v>
      </c>
      <c r="S42" s="5"/>
      <c r="T42" s="85">
        <f t="shared" ref="T42:T43" si="11">C42*0.06</f>
        <v>1942.1399999999999</v>
      </c>
      <c r="U42" s="6"/>
      <c r="V42" s="6"/>
      <c r="W42" s="6"/>
    </row>
    <row r="43" spans="2:23" ht="11.25">
      <c r="B43" s="49" t="s">
        <v>29</v>
      </c>
      <c r="C43" s="58">
        <v>32369</v>
      </c>
      <c r="D43" s="5"/>
      <c r="E43" s="5"/>
      <c r="F43" s="5"/>
      <c r="G43" s="5">
        <f t="shared" si="0"/>
        <v>624</v>
      </c>
      <c r="H43" s="5">
        <f t="shared" si="1"/>
        <v>31090</v>
      </c>
      <c r="I43" s="5">
        <f t="shared" si="2"/>
        <v>11575</v>
      </c>
      <c r="J43" s="5">
        <f t="shared" si="3"/>
        <v>4630</v>
      </c>
      <c r="K43" s="5">
        <f t="shared" si="4"/>
        <v>3470</v>
      </c>
      <c r="L43" s="5"/>
      <c r="M43" s="5">
        <f t="shared" si="5"/>
        <v>8000</v>
      </c>
      <c r="N43" s="19">
        <f>2663*$A$1</f>
        <v>2663</v>
      </c>
      <c r="O43" s="32"/>
      <c r="P43" s="19">
        <f>1859*$A$1</f>
        <v>1859</v>
      </c>
      <c r="Q43" s="33">
        <v>23100.95</v>
      </c>
      <c r="R43" s="33">
        <v>28940</v>
      </c>
      <c r="S43" s="5"/>
      <c r="T43" s="85">
        <f t="shared" si="11"/>
        <v>1942.1399999999999</v>
      </c>
      <c r="U43" s="6"/>
      <c r="V43" s="6"/>
      <c r="W43" s="6"/>
    </row>
    <row r="44" spans="2:23" ht="11.25">
      <c r="B44" s="53" t="s">
        <v>5</v>
      </c>
      <c r="C44" s="58"/>
      <c r="D44" s="5"/>
      <c r="E44" s="5"/>
      <c r="F44" s="5"/>
      <c r="G44" s="5"/>
      <c r="H44" s="5"/>
      <c r="I44" s="5"/>
      <c r="J44" s="5"/>
      <c r="K44" s="5"/>
      <c r="L44" s="5"/>
      <c r="M44" s="5"/>
      <c r="N44" s="5"/>
      <c r="O44" s="5"/>
      <c r="P44" s="5"/>
      <c r="Q44" s="33"/>
      <c r="R44" s="33"/>
      <c r="S44" s="5"/>
      <c r="T44" s="85"/>
      <c r="U44" s="6"/>
      <c r="V44" s="6"/>
      <c r="W44" s="6"/>
    </row>
    <row r="45" spans="2:23" ht="11.25">
      <c r="B45" s="49" t="s">
        <v>35</v>
      </c>
      <c r="C45" s="58">
        <v>32369</v>
      </c>
      <c r="D45" s="5"/>
      <c r="E45" s="5"/>
      <c r="F45" s="5"/>
      <c r="G45" s="5">
        <f t="shared" si="0"/>
        <v>624</v>
      </c>
      <c r="H45" s="5">
        <f t="shared" si="1"/>
        <v>31090</v>
      </c>
      <c r="I45" s="5">
        <f t="shared" si="2"/>
        <v>11575</v>
      </c>
      <c r="J45" s="5">
        <f t="shared" si="3"/>
        <v>4630</v>
      </c>
      <c r="K45" s="5">
        <f t="shared" si="4"/>
        <v>3470</v>
      </c>
      <c r="L45" s="5"/>
      <c r="M45" s="5">
        <f t="shared" si="5"/>
        <v>8000</v>
      </c>
      <c r="N45" s="5"/>
      <c r="O45" s="5"/>
      <c r="P45" s="5"/>
      <c r="Q45" s="33">
        <v>25000</v>
      </c>
      <c r="R45" s="33">
        <v>28940</v>
      </c>
      <c r="S45" s="5"/>
      <c r="T45" s="85">
        <f>C45*0.06</f>
        <v>1942.1399999999999</v>
      </c>
      <c r="U45" s="6"/>
      <c r="V45" s="6"/>
      <c r="W45" s="6"/>
    </row>
    <row r="46" spans="2:23" ht="11.25">
      <c r="B46" s="51" t="s">
        <v>8</v>
      </c>
      <c r="C46" s="58"/>
      <c r="D46" s="5"/>
      <c r="E46" s="5"/>
      <c r="F46" s="5"/>
      <c r="G46" s="5"/>
      <c r="H46" s="5"/>
      <c r="I46" s="5"/>
      <c r="J46" s="5"/>
      <c r="K46" s="5"/>
      <c r="L46" s="5"/>
      <c r="M46" s="5"/>
      <c r="N46" s="5"/>
      <c r="O46" s="5"/>
      <c r="P46" s="5"/>
      <c r="Q46" s="33"/>
      <c r="R46" s="33"/>
      <c r="S46" s="5"/>
      <c r="T46" s="85"/>
      <c r="U46" s="6"/>
      <c r="V46" s="6"/>
      <c r="W46" s="6"/>
    </row>
    <row r="47" spans="2:23" ht="11.25">
      <c r="B47" s="49" t="s">
        <v>32</v>
      </c>
      <c r="C47" s="58">
        <v>32369</v>
      </c>
      <c r="D47" s="5"/>
      <c r="E47" s="5"/>
      <c r="F47" s="5"/>
      <c r="G47" s="5">
        <f t="shared" si="0"/>
        <v>624</v>
      </c>
      <c r="H47" s="5">
        <f t="shared" si="1"/>
        <v>31090</v>
      </c>
      <c r="I47" s="5">
        <f t="shared" si="2"/>
        <v>11575</v>
      </c>
      <c r="J47" s="5">
        <f t="shared" si="3"/>
        <v>4630</v>
      </c>
      <c r="K47" s="5">
        <f t="shared" si="4"/>
        <v>3470</v>
      </c>
      <c r="L47" s="5"/>
      <c r="M47" s="5">
        <f t="shared" si="5"/>
        <v>8000</v>
      </c>
      <c r="N47" s="5"/>
      <c r="O47" s="5"/>
      <c r="P47" s="5"/>
      <c r="Q47" s="33">
        <v>8447.6299999999992</v>
      </c>
      <c r="R47" s="33">
        <v>8000</v>
      </c>
      <c r="S47" s="5"/>
      <c r="T47" s="85">
        <f>C47*0.06</f>
        <v>1942.1399999999999</v>
      </c>
      <c r="U47" s="6"/>
      <c r="V47" s="6"/>
      <c r="W47" s="6"/>
    </row>
    <row r="48" spans="2:23" ht="11.25">
      <c r="B48" s="50" t="s">
        <v>12</v>
      </c>
      <c r="C48" s="58"/>
      <c r="D48" s="5"/>
      <c r="E48" s="5"/>
      <c r="F48" s="5"/>
      <c r="G48" s="5"/>
      <c r="H48" s="5"/>
      <c r="I48" s="5"/>
      <c r="J48" s="5"/>
      <c r="K48" s="5"/>
      <c r="L48" s="5"/>
      <c r="M48" s="5"/>
      <c r="N48" s="5"/>
      <c r="O48" s="5"/>
      <c r="P48" s="5"/>
      <c r="Q48" s="33"/>
      <c r="R48" s="33"/>
      <c r="S48" s="5"/>
      <c r="T48" s="85"/>
      <c r="U48" s="6"/>
      <c r="V48" s="6"/>
      <c r="W48" s="6"/>
    </row>
    <row r="49" spans="1:40" ht="11.25">
      <c r="B49" s="49" t="s">
        <v>30</v>
      </c>
      <c r="C49" s="58">
        <v>32369</v>
      </c>
      <c r="D49" s="5"/>
      <c r="E49" s="5"/>
      <c r="F49" s="5"/>
      <c r="G49" s="5">
        <f t="shared" si="0"/>
        <v>624</v>
      </c>
      <c r="H49" s="5">
        <f t="shared" si="1"/>
        <v>31090</v>
      </c>
      <c r="I49" s="5">
        <f t="shared" si="2"/>
        <v>11575</v>
      </c>
      <c r="J49" s="5">
        <f t="shared" si="3"/>
        <v>4630</v>
      </c>
      <c r="K49" s="5">
        <f t="shared" si="4"/>
        <v>3470</v>
      </c>
      <c r="L49" s="5"/>
      <c r="M49" s="5">
        <f t="shared" si="5"/>
        <v>8000</v>
      </c>
      <c r="N49" s="8"/>
      <c r="O49" s="8"/>
      <c r="P49" s="8"/>
      <c r="Q49" s="33">
        <v>25000</v>
      </c>
      <c r="R49" s="33">
        <v>28940</v>
      </c>
      <c r="S49" s="5"/>
      <c r="T49" s="85">
        <f>C49*0.06</f>
        <v>1942.1399999999999</v>
      </c>
    </row>
    <row r="50" spans="1:40" ht="11.25">
      <c r="B50" s="54"/>
      <c r="C50" s="15"/>
      <c r="D50" s="16"/>
      <c r="E50" s="16"/>
      <c r="F50" s="16"/>
      <c r="G50" s="16"/>
      <c r="H50" s="16"/>
      <c r="I50" s="16"/>
      <c r="J50" s="16"/>
      <c r="K50" s="16"/>
      <c r="L50" s="16"/>
      <c r="M50" s="16"/>
      <c r="N50" s="17"/>
      <c r="O50" s="17"/>
      <c r="P50" s="17"/>
      <c r="Q50" s="34"/>
      <c r="R50" s="34"/>
      <c r="S50" s="16"/>
      <c r="T50" s="86"/>
    </row>
    <row r="51" spans="1:40" s="26" customFormat="1">
      <c r="A51" s="21"/>
      <c r="B51" s="27" t="s">
        <v>79</v>
      </c>
      <c r="C51" s="28">
        <f t="shared" ref="C51:K51" si="12">SUM(C9:C49)</f>
        <v>1068177</v>
      </c>
      <c r="D51" s="28">
        <f t="shared" si="12"/>
        <v>0</v>
      </c>
      <c r="E51" s="28">
        <f t="shared" si="12"/>
        <v>0</v>
      </c>
      <c r="F51" s="28">
        <f t="shared" si="12"/>
        <v>0</v>
      </c>
      <c r="G51" s="28">
        <f t="shared" si="12"/>
        <v>20592</v>
      </c>
      <c r="H51" s="28">
        <f t="shared" si="12"/>
        <v>1025970</v>
      </c>
      <c r="I51" s="28">
        <f t="shared" si="12"/>
        <v>381975</v>
      </c>
      <c r="J51" s="28">
        <f t="shared" si="12"/>
        <v>152790</v>
      </c>
      <c r="K51" s="28">
        <f t="shared" si="12"/>
        <v>111040</v>
      </c>
      <c r="L51" s="28"/>
      <c r="M51" s="28">
        <f>SUM(M9:M49)</f>
        <v>264000</v>
      </c>
      <c r="N51" s="28">
        <f t="shared" ref="N51:T51" si="13">SUM(N9:N49)</f>
        <v>33978</v>
      </c>
      <c r="O51" s="28">
        <f t="shared" si="13"/>
        <v>90291</v>
      </c>
      <c r="P51" s="28">
        <f t="shared" si="13"/>
        <v>27895</v>
      </c>
      <c r="Q51" s="28">
        <f t="shared" si="13"/>
        <v>746688.75999999989</v>
      </c>
      <c r="R51" s="28">
        <f t="shared" si="13"/>
        <v>836029.62999999989</v>
      </c>
      <c r="S51" s="28"/>
      <c r="T51" s="87">
        <f t="shared" si="13"/>
        <v>64090.619999999988</v>
      </c>
      <c r="U51" s="25"/>
      <c r="V51" s="25"/>
      <c r="W51" s="25"/>
      <c r="X51" s="25"/>
      <c r="Y51" s="25"/>
      <c r="Z51" s="25"/>
      <c r="AA51" s="25"/>
      <c r="AB51" s="25"/>
      <c r="AC51" s="25"/>
      <c r="AD51" s="25"/>
      <c r="AE51" s="25"/>
      <c r="AF51" s="25"/>
      <c r="AG51" s="25"/>
      <c r="AH51" s="25"/>
      <c r="AI51" s="25"/>
      <c r="AJ51" s="25"/>
      <c r="AK51" s="25"/>
      <c r="AL51" s="25"/>
      <c r="AM51" s="25"/>
      <c r="AN51" s="25"/>
    </row>
    <row r="52" spans="1:40" s="29" customFormat="1" ht="9" customHeight="1" thickBot="1">
      <c r="B52" s="55"/>
      <c r="C52" s="59"/>
      <c r="D52" s="30"/>
      <c r="E52" s="30"/>
      <c r="F52" s="30"/>
      <c r="G52" s="30"/>
      <c r="H52" s="30"/>
      <c r="I52" s="30"/>
      <c r="J52" s="30"/>
      <c r="K52" s="30"/>
      <c r="L52" s="30"/>
      <c r="M52" s="30"/>
      <c r="N52" s="30"/>
      <c r="O52" s="30"/>
      <c r="P52" s="30"/>
      <c r="Q52" s="30"/>
      <c r="R52" s="30"/>
      <c r="S52" s="30"/>
      <c r="T52" s="46"/>
    </row>
    <row r="53" spans="1:40" ht="13.5" thickTop="1">
      <c r="B53" s="10" t="s">
        <v>59</v>
      </c>
      <c r="C53" s="2" t="s">
        <v>60</v>
      </c>
    </row>
    <row r="54" spans="1:40">
      <c r="B54" s="10" t="s">
        <v>66</v>
      </c>
      <c r="C54" s="2" t="s">
        <v>69</v>
      </c>
    </row>
    <row r="55" spans="1:40">
      <c r="B55" s="10" t="s">
        <v>70</v>
      </c>
      <c r="C55" s="2" t="s">
        <v>71</v>
      </c>
    </row>
    <row r="56" spans="1:40">
      <c r="B56" s="10" t="s">
        <v>74</v>
      </c>
      <c r="C56" s="2" t="s">
        <v>75</v>
      </c>
    </row>
    <row r="57" spans="1:40">
      <c r="B57" s="10" t="s">
        <v>83</v>
      </c>
      <c r="C57" s="2" t="s">
        <v>88</v>
      </c>
    </row>
    <row r="58" spans="1:40">
      <c r="B58" s="10" t="s">
        <v>86</v>
      </c>
      <c r="C58" s="2" t="s">
        <v>89</v>
      </c>
    </row>
    <row r="59" spans="1:40">
      <c r="B59" s="10" t="s">
        <v>87</v>
      </c>
      <c r="C59" s="99" t="s">
        <v>96</v>
      </c>
    </row>
    <row r="63" spans="1:40">
      <c r="B63" s="11"/>
    </row>
    <row r="64" spans="1:40">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sheetData>
  <mergeCells count="7">
    <mergeCell ref="B1:U1"/>
    <mergeCell ref="B2:U2"/>
    <mergeCell ref="B3:U3"/>
    <mergeCell ref="B4:U4"/>
    <mergeCell ref="C6:P6"/>
    <mergeCell ref="Q6:R6"/>
    <mergeCell ref="S6:T6"/>
  </mergeCells>
  <printOptions horizontalCentered="1"/>
  <pageMargins left="0.51181102362204722" right="0.31496062992125984" top="0.74803149606299213" bottom="0.74803149606299213" header="0.31496062992125984" footer="0.31496062992125984"/>
  <pageSetup paperSize="5" scale="70" orientation="landscape" r:id="rId1"/>
  <drawing r:id="rId2"/>
</worksheet>
</file>

<file path=xl/worksheets/sheet3.xml><?xml version="1.0" encoding="utf-8"?>
<worksheet xmlns="http://schemas.openxmlformats.org/spreadsheetml/2006/main" xmlns:r="http://schemas.openxmlformats.org/officeDocument/2006/relationships">
  <sheetPr>
    <tabColor rgb="FF00B050"/>
    <pageSetUpPr fitToPage="1"/>
  </sheetPr>
  <dimension ref="A1:AN89"/>
  <sheetViews>
    <sheetView workbookViewId="0">
      <pane xSplit="2" ySplit="8" topLeftCell="C33" activePane="bottomRight" state="frozen"/>
      <selection pane="topRight" activeCell="C1" sqref="C1"/>
      <selection pane="bottomLeft" activeCell="A9" sqref="A9"/>
      <selection pane="bottomRight" activeCell="C59" sqref="C59"/>
    </sheetView>
  </sheetViews>
  <sheetFormatPr baseColWidth="10" defaultColWidth="11.42578125" defaultRowHeight="12.75"/>
  <cols>
    <col min="1" max="1" width="1.5703125" style="2" customWidth="1"/>
    <col min="2" max="2" width="32.140625" style="12" customWidth="1"/>
    <col min="3" max="3" width="12.85546875" style="2" customWidth="1"/>
    <col min="4" max="4" width="11.140625" style="2" customWidth="1"/>
    <col min="5" max="5" width="10.5703125" style="2" customWidth="1"/>
    <col min="6" max="6" width="12" style="2" customWidth="1"/>
    <col min="7" max="7" width="9.85546875" style="2" bestFit="1" customWidth="1"/>
    <col min="8" max="8" width="12.85546875" style="2" customWidth="1"/>
    <col min="9" max="9" width="12" style="2" customWidth="1"/>
    <col min="10" max="11" width="11.28515625" style="2" bestFit="1" customWidth="1"/>
    <col min="12" max="12" width="2.7109375" style="2" bestFit="1" customWidth="1"/>
    <col min="13" max="13" width="11.28515625" style="2" bestFit="1" customWidth="1"/>
    <col min="14" max="14" width="9.85546875" style="2" bestFit="1" customWidth="1"/>
    <col min="15" max="15" width="11.28515625" style="2" bestFit="1" customWidth="1"/>
    <col min="16" max="16" width="10.85546875" style="2" customWidth="1"/>
    <col min="17" max="18" width="12.28515625" style="2" bestFit="1" customWidth="1"/>
    <col min="19" max="19" width="2.5703125" style="2" customWidth="1"/>
    <col min="20" max="20" width="9.85546875" style="2" bestFit="1" customWidth="1"/>
    <col min="21" max="21" width="3.7109375" style="2" customWidth="1"/>
    <col min="22" max="16384" width="11.42578125" style="2"/>
  </cols>
  <sheetData>
    <row r="1" spans="1:40" ht="18.75">
      <c r="A1" s="2">
        <v>1</v>
      </c>
      <c r="B1" s="93" t="s">
        <v>48</v>
      </c>
      <c r="C1" s="93"/>
      <c r="D1" s="93"/>
      <c r="E1" s="93"/>
      <c r="F1" s="93"/>
      <c r="G1" s="93"/>
      <c r="H1" s="93"/>
      <c r="I1" s="93"/>
      <c r="J1" s="93"/>
      <c r="K1" s="93"/>
      <c r="L1" s="93"/>
      <c r="M1" s="93"/>
      <c r="N1" s="93"/>
      <c r="O1" s="93"/>
      <c r="P1" s="93"/>
      <c r="Q1" s="93"/>
      <c r="R1" s="93"/>
      <c r="S1" s="93"/>
      <c r="T1" s="93"/>
      <c r="U1" s="93"/>
    </row>
    <row r="2" spans="1:40" ht="15.75">
      <c r="B2" s="94" t="s">
        <v>54</v>
      </c>
      <c r="C2" s="94"/>
      <c r="D2" s="94"/>
      <c r="E2" s="94"/>
      <c r="F2" s="94"/>
      <c r="G2" s="94"/>
      <c r="H2" s="94"/>
      <c r="I2" s="94"/>
      <c r="J2" s="94"/>
      <c r="K2" s="94"/>
      <c r="L2" s="94"/>
      <c r="M2" s="94"/>
      <c r="N2" s="94"/>
      <c r="O2" s="94"/>
      <c r="P2" s="94"/>
      <c r="Q2" s="94"/>
      <c r="R2" s="94"/>
      <c r="S2" s="94"/>
      <c r="T2" s="94"/>
      <c r="U2" s="94"/>
    </row>
    <row r="3" spans="1:40" ht="15.75">
      <c r="B3" s="94" t="s">
        <v>65</v>
      </c>
      <c r="C3" s="94"/>
      <c r="D3" s="94"/>
      <c r="E3" s="94"/>
      <c r="F3" s="94"/>
      <c r="G3" s="94"/>
      <c r="H3" s="94"/>
      <c r="I3" s="94"/>
      <c r="J3" s="94"/>
      <c r="K3" s="94"/>
      <c r="L3" s="94"/>
      <c r="M3" s="94"/>
      <c r="N3" s="94"/>
      <c r="O3" s="94"/>
      <c r="P3" s="94"/>
      <c r="Q3" s="94"/>
      <c r="R3" s="94"/>
      <c r="S3" s="94"/>
      <c r="T3" s="94"/>
      <c r="U3" s="94"/>
      <c r="V3" s="1"/>
      <c r="W3" s="1"/>
      <c r="X3" s="1"/>
      <c r="Y3" s="1"/>
      <c r="Z3" s="1"/>
      <c r="AA3" s="1"/>
      <c r="AB3" s="1"/>
      <c r="AC3" s="1"/>
      <c r="AD3" s="1"/>
      <c r="AE3" s="1"/>
      <c r="AF3" s="1"/>
      <c r="AG3" s="1"/>
      <c r="AH3" s="1"/>
      <c r="AI3" s="1"/>
      <c r="AJ3" s="1"/>
      <c r="AK3" s="1"/>
      <c r="AL3" s="1"/>
      <c r="AM3" s="1"/>
      <c r="AN3" s="1"/>
    </row>
    <row r="4" spans="1:40" ht="15.75">
      <c r="B4" s="94" t="s">
        <v>78</v>
      </c>
      <c r="C4" s="94"/>
      <c r="D4" s="94"/>
      <c r="E4" s="94"/>
      <c r="F4" s="94"/>
      <c r="G4" s="94"/>
      <c r="H4" s="94"/>
      <c r="I4" s="94"/>
      <c r="J4" s="94"/>
      <c r="K4" s="94"/>
      <c r="L4" s="94"/>
      <c r="M4" s="94"/>
      <c r="N4" s="94"/>
      <c r="O4" s="94"/>
      <c r="P4" s="94"/>
      <c r="Q4" s="94"/>
      <c r="R4" s="94"/>
      <c r="S4" s="94"/>
      <c r="T4" s="94"/>
      <c r="U4" s="94"/>
      <c r="V4" s="1"/>
      <c r="W4" s="1"/>
      <c r="X4" s="1"/>
      <c r="Y4" s="1"/>
      <c r="Z4" s="1"/>
      <c r="AA4" s="1"/>
      <c r="AB4" s="1"/>
      <c r="AC4" s="1"/>
      <c r="AD4" s="1"/>
      <c r="AE4" s="1"/>
      <c r="AF4" s="1"/>
      <c r="AG4" s="1"/>
      <c r="AH4" s="1"/>
      <c r="AI4" s="1"/>
      <c r="AJ4" s="1"/>
      <c r="AK4" s="1"/>
      <c r="AL4" s="1"/>
      <c r="AM4" s="1"/>
      <c r="AN4" s="1"/>
    </row>
    <row r="5" spans="1:40" ht="16.5" thickBot="1">
      <c r="B5" s="82"/>
      <c r="C5" s="82"/>
      <c r="D5" s="82"/>
      <c r="E5" s="82"/>
      <c r="F5" s="82"/>
      <c r="G5" s="82"/>
      <c r="H5" s="82"/>
      <c r="I5" s="82"/>
      <c r="J5" s="82"/>
      <c r="K5" s="82"/>
      <c r="L5" s="82"/>
      <c r="M5" s="82"/>
      <c r="N5" s="82"/>
      <c r="O5" s="82"/>
      <c r="P5" s="82"/>
      <c r="Q5" s="82"/>
      <c r="R5" s="82"/>
      <c r="S5" s="90"/>
      <c r="T5" s="82"/>
      <c r="U5" s="82"/>
      <c r="V5" s="1"/>
      <c r="W5" s="1"/>
      <c r="X5" s="1"/>
      <c r="Y5" s="1"/>
      <c r="Z5" s="1"/>
      <c r="AA5" s="1"/>
      <c r="AB5" s="1"/>
      <c r="AC5" s="1"/>
      <c r="AD5" s="1"/>
      <c r="AE5" s="1"/>
      <c r="AF5" s="1"/>
      <c r="AG5" s="1"/>
      <c r="AH5" s="1"/>
      <c r="AI5" s="1"/>
      <c r="AJ5" s="1"/>
      <c r="AK5" s="1"/>
      <c r="AL5" s="1"/>
      <c r="AM5" s="1"/>
      <c r="AN5" s="1"/>
    </row>
    <row r="6" spans="1:40" ht="20.25" thickTop="1" thickBot="1">
      <c r="B6" s="31"/>
      <c r="C6" s="95" t="s">
        <v>68</v>
      </c>
      <c r="D6" s="96"/>
      <c r="E6" s="96"/>
      <c r="F6" s="96"/>
      <c r="G6" s="96"/>
      <c r="H6" s="96"/>
      <c r="I6" s="96"/>
      <c r="J6" s="96"/>
      <c r="K6" s="96"/>
      <c r="L6" s="96"/>
      <c r="M6" s="96"/>
      <c r="N6" s="96"/>
      <c r="O6" s="96"/>
      <c r="P6" s="97"/>
      <c r="Q6" s="95" t="s">
        <v>72</v>
      </c>
      <c r="R6" s="97"/>
      <c r="S6" s="95" t="s">
        <v>73</v>
      </c>
      <c r="T6" s="97"/>
      <c r="U6" s="31"/>
      <c r="V6" s="1"/>
      <c r="W6" s="1"/>
      <c r="X6" s="1"/>
      <c r="Y6" s="1"/>
      <c r="Z6" s="1"/>
      <c r="AA6" s="1"/>
      <c r="AB6" s="1"/>
      <c r="AC6" s="1"/>
      <c r="AD6" s="1"/>
      <c r="AE6" s="1"/>
      <c r="AF6" s="1"/>
      <c r="AG6" s="1"/>
      <c r="AH6" s="1"/>
      <c r="AI6" s="1"/>
      <c r="AJ6" s="1"/>
      <c r="AK6" s="1"/>
      <c r="AL6" s="1"/>
      <c r="AM6" s="1"/>
      <c r="AN6" s="1"/>
    </row>
    <row r="7" spans="1:40" s="3" customFormat="1" ht="37.5" customHeight="1" thickTop="1" thickBot="1">
      <c r="A7" s="2"/>
      <c r="B7" s="47"/>
      <c r="C7" s="56" t="s">
        <v>46</v>
      </c>
      <c r="D7" s="20" t="s">
        <v>62</v>
      </c>
      <c r="E7" s="20" t="s">
        <v>63</v>
      </c>
      <c r="F7" s="20" t="s">
        <v>58</v>
      </c>
      <c r="G7" s="20" t="s">
        <v>55</v>
      </c>
      <c r="H7" s="20" t="s">
        <v>45</v>
      </c>
      <c r="I7" s="20" t="s">
        <v>49</v>
      </c>
      <c r="J7" s="20" t="s">
        <v>50</v>
      </c>
      <c r="K7" s="20" t="s">
        <v>51</v>
      </c>
      <c r="L7" s="20"/>
      <c r="M7" s="20" t="s">
        <v>9</v>
      </c>
      <c r="N7" s="20" t="s">
        <v>0</v>
      </c>
      <c r="O7" s="20" t="s">
        <v>56</v>
      </c>
      <c r="P7" s="20" t="s">
        <v>57</v>
      </c>
      <c r="Q7" s="20" t="s">
        <v>84</v>
      </c>
      <c r="R7" s="20" t="s">
        <v>85</v>
      </c>
      <c r="S7" s="20"/>
      <c r="T7" s="88" t="s">
        <v>10</v>
      </c>
      <c r="U7" s="1"/>
      <c r="V7" s="1"/>
      <c r="W7" s="1"/>
      <c r="X7" s="1"/>
      <c r="Y7" s="1"/>
      <c r="Z7" s="1"/>
      <c r="AA7" s="1"/>
      <c r="AB7" s="1"/>
      <c r="AC7" s="1"/>
      <c r="AD7" s="1"/>
      <c r="AE7" s="1"/>
      <c r="AF7" s="1"/>
      <c r="AG7" s="1"/>
      <c r="AH7" s="1"/>
      <c r="AI7" s="1"/>
      <c r="AJ7" s="1"/>
      <c r="AK7" s="1"/>
      <c r="AL7" s="1"/>
      <c r="AM7" s="1"/>
      <c r="AN7" s="1"/>
    </row>
    <row r="8" spans="1:40" ht="12" thickTop="1">
      <c r="B8" s="48" t="s">
        <v>3</v>
      </c>
      <c r="C8" s="57"/>
      <c r="D8" s="4"/>
      <c r="E8" s="4"/>
      <c r="F8" s="4"/>
      <c r="G8" s="4"/>
      <c r="H8" s="4"/>
      <c r="I8" s="4"/>
      <c r="J8" s="4"/>
      <c r="K8" s="4"/>
      <c r="L8" s="4"/>
      <c r="M8" s="4"/>
      <c r="N8" s="4"/>
      <c r="O8" s="4"/>
      <c r="P8" s="4"/>
      <c r="Q8" s="13"/>
      <c r="R8" s="13"/>
      <c r="S8" s="4"/>
      <c r="T8" s="84"/>
      <c r="U8" s="1"/>
      <c r="V8" s="1"/>
      <c r="W8" s="1"/>
      <c r="X8" s="1"/>
      <c r="Y8" s="1"/>
      <c r="Z8" s="1"/>
      <c r="AA8" s="1"/>
      <c r="AB8" s="1"/>
      <c r="AC8" s="1"/>
      <c r="AD8" s="1"/>
      <c r="AE8" s="1"/>
      <c r="AF8" s="1"/>
      <c r="AG8" s="1"/>
      <c r="AH8" s="1"/>
      <c r="AI8" s="1"/>
      <c r="AJ8" s="1"/>
      <c r="AK8" s="1"/>
      <c r="AL8" s="1"/>
      <c r="AM8" s="1"/>
      <c r="AN8" s="1"/>
    </row>
    <row r="9" spans="1:40" ht="11.25">
      <c r="B9" s="49" t="s">
        <v>40</v>
      </c>
      <c r="C9" s="58">
        <v>32369</v>
      </c>
      <c r="D9" s="5"/>
      <c r="E9" s="5"/>
      <c r="F9" s="5"/>
      <c r="G9" s="5">
        <f t="shared" ref="G9:G49" si="0">624*$A$1</f>
        <v>624</v>
      </c>
      <c r="H9" s="5">
        <f t="shared" ref="H9:H49" si="1">31090*$A$1</f>
        <v>31090</v>
      </c>
      <c r="I9" s="5">
        <f t="shared" ref="I9:I49" si="2">11575*$A$1</f>
        <v>11575</v>
      </c>
      <c r="J9" s="5">
        <f t="shared" ref="J9:J49" si="3">4630*$A$1</f>
        <v>4630</v>
      </c>
      <c r="K9" s="5">
        <f t="shared" ref="K9:K49" si="4">3470*$A$1</f>
        <v>3470</v>
      </c>
      <c r="L9" s="5"/>
      <c r="M9" s="5">
        <f t="shared" ref="M9:M49" si="5">8000*$A$1</f>
        <v>8000</v>
      </c>
      <c r="N9" s="5"/>
      <c r="O9" s="5">
        <f>48160*1</f>
        <v>48160</v>
      </c>
      <c r="P9" s="5"/>
      <c r="Q9" s="83">
        <v>40000</v>
      </c>
      <c r="R9" s="33">
        <v>28940</v>
      </c>
      <c r="S9" s="5"/>
      <c r="T9" s="85">
        <f>C9*0.06</f>
        <v>1942.1399999999999</v>
      </c>
      <c r="U9" s="6"/>
      <c r="V9" s="6"/>
      <c r="W9" s="6"/>
    </row>
    <row r="10" spans="1:40" ht="11.25">
      <c r="B10" s="49" t="s">
        <v>16</v>
      </c>
      <c r="C10" s="58">
        <v>32369</v>
      </c>
      <c r="D10" s="5"/>
      <c r="E10" s="5"/>
      <c r="F10" s="5"/>
      <c r="G10" s="5">
        <f t="shared" si="0"/>
        <v>624</v>
      </c>
      <c r="H10" s="5">
        <f t="shared" si="1"/>
        <v>31090</v>
      </c>
      <c r="I10" s="5">
        <f t="shared" si="2"/>
        <v>11575</v>
      </c>
      <c r="J10" s="5">
        <f t="shared" si="3"/>
        <v>4630</v>
      </c>
      <c r="K10" s="5">
        <f t="shared" si="4"/>
        <v>3470</v>
      </c>
      <c r="L10" s="5"/>
      <c r="M10" s="5">
        <f t="shared" si="5"/>
        <v>8000</v>
      </c>
      <c r="N10" s="5"/>
      <c r="O10" s="5"/>
      <c r="P10" s="5"/>
      <c r="Q10" s="83">
        <v>25000</v>
      </c>
      <c r="R10" s="33">
        <v>28500</v>
      </c>
      <c r="S10" s="5"/>
      <c r="T10" s="85">
        <f t="shared" ref="T10:T24" si="6">C10*0.06</f>
        <v>1942.1399999999999</v>
      </c>
      <c r="U10" s="6"/>
      <c r="V10" s="7"/>
      <c r="W10" s="7"/>
      <c r="X10" s="1"/>
      <c r="Y10" s="1"/>
      <c r="Z10" s="1"/>
      <c r="AA10" s="1"/>
      <c r="AB10" s="1"/>
      <c r="AC10" s="1"/>
      <c r="AD10" s="1"/>
      <c r="AE10" s="1"/>
      <c r="AF10" s="1"/>
      <c r="AG10" s="1"/>
      <c r="AH10" s="1"/>
      <c r="AI10" s="1"/>
      <c r="AJ10" s="1"/>
      <c r="AK10" s="1"/>
      <c r="AL10" s="1"/>
      <c r="AM10" s="1"/>
      <c r="AN10" s="1"/>
    </row>
    <row r="11" spans="1:40" ht="11.25">
      <c r="B11" s="49" t="s">
        <v>18</v>
      </c>
      <c r="C11" s="58">
        <v>32369</v>
      </c>
      <c r="D11" s="5"/>
      <c r="E11" s="5"/>
      <c r="F11" s="5"/>
      <c r="G11" s="5">
        <f t="shared" si="0"/>
        <v>624</v>
      </c>
      <c r="H11" s="5">
        <f t="shared" si="1"/>
        <v>31090</v>
      </c>
      <c r="I11" s="5">
        <f t="shared" si="2"/>
        <v>11575</v>
      </c>
      <c r="J11" s="5">
        <f t="shared" si="3"/>
        <v>4630</v>
      </c>
      <c r="K11" s="5">
        <f t="shared" si="4"/>
        <v>3470</v>
      </c>
      <c r="L11" s="5"/>
      <c r="M11" s="5">
        <f t="shared" si="5"/>
        <v>8000</v>
      </c>
      <c r="N11" s="5"/>
      <c r="O11" s="5"/>
      <c r="P11" s="5"/>
      <c r="Q11" s="83">
        <v>25000</v>
      </c>
      <c r="R11" s="33">
        <v>28940</v>
      </c>
      <c r="S11" s="5"/>
      <c r="T11" s="85">
        <f t="shared" si="6"/>
        <v>1942.1399999999999</v>
      </c>
      <c r="U11" s="6"/>
      <c r="V11" s="7"/>
      <c r="W11" s="7"/>
      <c r="X11" s="1"/>
      <c r="Y11" s="1"/>
      <c r="Z11" s="1"/>
      <c r="AA11" s="1"/>
      <c r="AB11" s="1"/>
      <c r="AC11" s="1"/>
      <c r="AD11" s="1"/>
      <c r="AE11" s="1"/>
      <c r="AF11" s="1"/>
      <c r="AG11" s="1"/>
      <c r="AH11" s="1"/>
      <c r="AI11" s="1"/>
      <c r="AJ11" s="1"/>
      <c r="AK11" s="1"/>
      <c r="AL11" s="1"/>
      <c r="AM11" s="1"/>
      <c r="AN11" s="1"/>
    </row>
    <row r="12" spans="1:40" ht="11.25">
      <c r="B12" s="49" t="s">
        <v>20</v>
      </c>
      <c r="C12" s="58">
        <v>32369</v>
      </c>
      <c r="D12" s="5"/>
      <c r="E12" s="5"/>
      <c r="F12" s="5"/>
      <c r="G12" s="5">
        <f t="shared" si="0"/>
        <v>624</v>
      </c>
      <c r="H12" s="5">
        <f t="shared" si="1"/>
        <v>31090</v>
      </c>
      <c r="I12" s="5">
        <f t="shared" si="2"/>
        <v>11575</v>
      </c>
      <c r="J12" s="5">
        <f t="shared" si="3"/>
        <v>4630</v>
      </c>
      <c r="K12" s="5">
        <f t="shared" si="4"/>
        <v>3470</v>
      </c>
      <c r="L12" s="5"/>
      <c r="M12" s="5">
        <f t="shared" si="5"/>
        <v>8000</v>
      </c>
      <c r="N12" s="5"/>
      <c r="O12" s="5"/>
      <c r="P12" s="5"/>
      <c r="Q12" s="83">
        <v>25000</v>
      </c>
      <c r="R12" s="33">
        <v>28940</v>
      </c>
      <c r="S12" s="5"/>
      <c r="T12" s="85">
        <f t="shared" si="6"/>
        <v>1942.1399999999999</v>
      </c>
      <c r="U12" s="6"/>
      <c r="V12" s="6"/>
      <c r="W12" s="6"/>
    </row>
    <row r="13" spans="1:40" ht="11.25">
      <c r="B13" s="49" t="s">
        <v>23</v>
      </c>
      <c r="C13" s="58">
        <v>32369</v>
      </c>
      <c r="D13" s="5"/>
      <c r="E13" s="5"/>
      <c r="F13" s="5"/>
      <c r="G13" s="5">
        <f t="shared" si="0"/>
        <v>624</v>
      </c>
      <c r="H13" s="5">
        <f t="shared" si="1"/>
        <v>31090</v>
      </c>
      <c r="I13" s="5">
        <f t="shared" si="2"/>
        <v>11575</v>
      </c>
      <c r="J13" s="5">
        <f t="shared" si="3"/>
        <v>4630</v>
      </c>
      <c r="K13" s="5">
        <f t="shared" si="4"/>
        <v>3470</v>
      </c>
      <c r="L13" s="5"/>
      <c r="M13" s="5">
        <f t="shared" si="5"/>
        <v>8000</v>
      </c>
      <c r="N13" s="5">
        <f>4000*1</f>
        <v>4000</v>
      </c>
      <c r="O13" s="5"/>
      <c r="P13" s="5"/>
      <c r="Q13" s="83">
        <v>25000</v>
      </c>
      <c r="R13" s="33">
        <v>8000</v>
      </c>
      <c r="S13" s="5"/>
      <c r="T13" s="85">
        <f t="shared" si="6"/>
        <v>1942.1399999999999</v>
      </c>
      <c r="U13" s="6"/>
      <c r="V13" s="6"/>
      <c r="W13" s="6"/>
    </row>
    <row r="14" spans="1:40" ht="11.25">
      <c r="B14" s="49" t="s">
        <v>38</v>
      </c>
      <c r="C14" s="58">
        <v>32369</v>
      </c>
      <c r="D14" s="5"/>
      <c r="E14" s="5"/>
      <c r="F14" s="5"/>
      <c r="G14" s="5">
        <f t="shared" si="0"/>
        <v>624</v>
      </c>
      <c r="H14" s="5">
        <f t="shared" si="1"/>
        <v>31090</v>
      </c>
      <c r="I14" s="5">
        <f t="shared" si="2"/>
        <v>11575</v>
      </c>
      <c r="J14" s="5">
        <f t="shared" si="3"/>
        <v>4630</v>
      </c>
      <c r="K14" s="5">
        <f t="shared" si="4"/>
        <v>3470</v>
      </c>
      <c r="L14" s="5"/>
      <c r="M14" s="5">
        <f t="shared" si="5"/>
        <v>8000</v>
      </c>
      <c r="N14" s="5">
        <f>2663*1</f>
        <v>2663</v>
      </c>
      <c r="O14" s="5"/>
      <c r="P14" s="5">
        <v>0</v>
      </c>
      <c r="Q14" s="33">
        <v>25000</v>
      </c>
      <c r="R14" s="33">
        <v>28940</v>
      </c>
      <c r="S14" s="5"/>
      <c r="T14" s="85">
        <f t="shared" si="6"/>
        <v>1942.1399999999999</v>
      </c>
      <c r="U14" s="6"/>
      <c r="V14" s="6"/>
      <c r="W14" s="6"/>
    </row>
    <row r="15" spans="1:40" ht="11.25">
      <c r="B15" s="49" t="s">
        <v>41</v>
      </c>
      <c r="C15" s="58">
        <v>32369</v>
      </c>
      <c r="D15" s="5"/>
      <c r="E15" s="5"/>
      <c r="F15" s="5"/>
      <c r="G15" s="5">
        <f t="shared" si="0"/>
        <v>624</v>
      </c>
      <c r="H15" s="5">
        <f t="shared" si="1"/>
        <v>31090</v>
      </c>
      <c r="I15" s="5">
        <f t="shared" si="2"/>
        <v>11575</v>
      </c>
      <c r="J15" s="5">
        <f t="shared" si="3"/>
        <v>4630</v>
      </c>
      <c r="K15" s="5">
        <v>0</v>
      </c>
      <c r="L15" s="9" t="s">
        <v>59</v>
      </c>
      <c r="M15" s="5">
        <f t="shared" si="5"/>
        <v>8000</v>
      </c>
      <c r="N15" s="5">
        <f>10000*$A$1</f>
        <v>10000</v>
      </c>
      <c r="O15" s="5"/>
      <c r="P15" s="5"/>
      <c r="Q15" s="33">
        <v>15577.03</v>
      </c>
      <c r="R15" s="33">
        <v>17929</v>
      </c>
      <c r="S15" s="89" t="s">
        <v>87</v>
      </c>
      <c r="T15" s="85">
        <f t="shared" si="6"/>
        <v>1942.1399999999999</v>
      </c>
      <c r="U15" s="6"/>
      <c r="V15" s="6"/>
      <c r="W15" s="6"/>
    </row>
    <row r="16" spans="1:40" ht="11.25">
      <c r="B16" s="49" t="s">
        <v>43</v>
      </c>
      <c r="C16" s="58">
        <v>32369</v>
      </c>
      <c r="D16" s="5"/>
      <c r="E16" s="5"/>
      <c r="F16" s="5"/>
      <c r="G16" s="5">
        <f t="shared" si="0"/>
        <v>624</v>
      </c>
      <c r="H16" s="5">
        <f t="shared" si="1"/>
        <v>31090</v>
      </c>
      <c r="I16" s="5">
        <f t="shared" si="2"/>
        <v>11575</v>
      </c>
      <c r="J16" s="5">
        <f t="shared" si="3"/>
        <v>4630</v>
      </c>
      <c r="K16" s="5">
        <f t="shared" si="4"/>
        <v>3470</v>
      </c>
      <c r="L16" s="5"/>
      <c r="M16" s="5">
        <f t="shared" si="5"/>
        <v>8000</v>
      </c>
      <c r="N16" s="5">
        <f>2663*$A$1</f>
        <v>2663</v>
      </c>
      <c r="O16" s="5"/>
      <c r="P16" s="5"/>
      <c r="Q16" s="33">
        <v>25000</v>
      </c>
      <c r="R16" s="33">
        <v>28940</v>
      </c>
      <c r="S16" s="5"/>
      <c r="T16" s="85">
        <f t="shared" si="6"/>
        <v>1942.1399999999999</v>
      </c>
      <c r="U16" s="6"/>
      <c r="V16" s="6"/>
      <c r="W16" s="6"/>
    </row>
    <row r="17" spans="2:40" ht="11.25">
      <c r="B17" s="49" t="s">
        <v>14</v>
      </c>
      <c r="C17" s="58">
        <v>32369</v>
      </c>
      <c r="D17" s="5"/>
      <c r="E17" s="5"/>
      <c r="F17" s="5"/>
      <c r="G17" s="5">
        <f>624*$A$1</f>
        <v>624</v>
      </c>
      <c r="H17" s="5">
        <f>31090*$A$1</f>
        <v>31090</v>
      </c>
      <c r="I17" s="5">
        <f>11575*$A$1</f>
        <v>11575</v>
      </c>
      <c r="J17" s="5">
        <f>4630*$A$1</f>
        <v>4630</v>
      </c>
      <c r="K17" s="5">
        <f>3470*$A$1</f>
        <v>3470</v>
      </c>
      <c r="L17" s="5"/>
      <c r="M17" s="5">
        <f>8000*$A$1</f>
        <v>8000</v>
      </c>
      <c r="N17" s="5"/>
      <c r="O17" s="5"/>
      <c r="P17" s="5"/>
      <c r="Q17" s="33">
        <v>25000</v>
      </c>
      <c r="R17" s="33">
        <v>45673.66</v>
      </c>
      <c r="S17" s="5"/>
      <c r="T17" s="85">
        <f t="shared" si="6"/>
        <v>1942.1399999999999</v>
      </c>
      <c r="U17" s="6"/>
      <c r="V17" s="7"/>
      <c r="W17" s="7"/>
      <c r="X17" s="1"/>
      <c r="Y17" s="1"/>
      <c r="Z17" s="1"/>
      <c r="AA17" s="1"/>
      <c r="AB17" s="1"/>
      <c r="AC17" s="1"/>
      <c r="AD17" s="1"/>
      <c r="AE17" s="1"/>
      <c r="AF17" s="1"/>
      <c r="AG17" s="1"/>
      <c r="AH17" s="1"/>
      <c r="AI17" s="1"/>
      <c r="AJ17" s="1"/>
      <c r="AK17" s="1"/>
      <c r="AL17" s="1"/>
      <c r="AM17" s="1"/>
      <c r="AN17" s="1"/>
    </row>
    <row r="18" spans="2:40" ht="11.25">
      <c r="B18" s="49" t="s">
        <v>17</v>
      </c>
      <c r="C18" s="58">
        <v>32369</v>
      </c>
      <c r="D18" s="5"/>
      <c r="E18" s="5"/>
      <c r="F18" s="5"/>
      <c r="G18" s="5">
        <f t="shared" si="0"/>
        <v>624</v>
      </c>
      <c r="H18" s="5">
        <f t="shared" si="1"/>
        <v>31090</v>
      </c>
      <c r="I18" s="5">
        <f t="shared" si="2"/>
        <v>11575</v>
      </c>
      <c r="J18" s="5">
        <f t="shared" si="3"/>
        <v>4630</v>
      </c>
      <c r="K18" s="5">
        <f t="shared" si="4"/>
        <v>3470</v>
      </c>
      <c r="L18" s="5"/>
      <c r="M18" s="5">
        <f t="shared" si="5"/>
        <v>8000</v>
      </c>
      <c r="N18" s="5"/>
      <c r="O18" s="8"/>
      <c r="P18" s="5">
        <f>14878*1</f>
        <v>14878</v>
      </c>
      <c r="Q18" s="33">
        <v>25000</v>
      </c>
      <c r="R18" s="33">
        <v>28940</v>
      </c>
      <c r="S18" s="5"/>
      <c r="T18" s="85">
        <f t="shared" si="6"/>
        <v>1942.1399999999999</v>
      </c>
      <c r="U18" s="6"/>
      <c r="V18" s="7"/>
      <c r="W18" s="7"/>
      <c r="X18" s="1"/>
      <c r="Y18" s="1"/>
      <c r="Z18" s="1"/>
      <c r="AA18" s="1"/>
      <c r="AB18" s="1"/>
      <c r="AC18" s="1"/>
      <c r="AD18" s="1"/>
      <c r="AE18" s="1"/>
      <c r="AF18" s="1"/>
      <c r="AG18" s="1"/>
      <c r="AH18" s="1"/>
      <c r="AI18" s="1"/>
      <c r="AJ18" s="1"/>
      <c r="AK18" s="1"/>
      <c r="AL18" s="1"/>
      <c r="AM18" s="1"/>
      <c r="AN18" s="1"/>
    </row>
    <row r="19" spans="2:40" ht="11.25">
      <c r="B19" s="49" t="s">
        <v>19</v>
      </c>
      <c r="C19" s="58">
        <v>32369</v>
      </c>
      <c r="D19" s="5"/>
      <c r="E19" s="5"/>
      <c r="F19" s="5"/>
      <c r="G19" s="5">
        <f t="shared" si="0"/>
        <v>624</v>
      </c>
      <c r="H19" s="5">
        <f t="shared" si="1"/>
        <v>31090</v>
      </c>
      <c r="I19" s="5">
        <f t="shared" si="2"/>
        <v>11575</v>
      </c>
      <c r="J19" s="5">
        <f t="shared" si="3"/>
        <v>4630</v>
      </c>
      <c r="K19" s="5">
        <f t="shared" si="4"/>
        <v>3470</v>
      </c>
      <c r="L19" s="5"/>
      <c r="M19" s="5">
        <f t="shared" si="5"/>
        <v>8000</v>
      </c>
      <c r="N19" s="5"/>
      <c r="O19" s="5"/>
      <c r="P19" s="5"/>
      <c r="Q19" s="33">
        <v>25000</v>
      </c>
      <c r="R19" s="33">
        <v>28100</v>
      </c>
      <c r="S19" s="5"/>
      <c r="T19" s="85">
        <f t="shared" si="6"/>
        <v>1942.1399999999999</v>
      </c>
      <c r="U19" s="6"/>
      <c r="V19" s="6"/>
      <c r="W19" s="6"/>
    </row>
    <row r="20" spans="2:40" ht="11.25">
      <c r="B20" s="49" t="s">
        <v>21</v>
      </c>
      <c r="C20" s="58">
        <v>32369</v>
      </c>
      <c r="D20" s="5"/>
      <c r="E20" s="5"/>
      <c r="F20" s="5"/>
      <c r="G20" s="5">
        <f t="shared" si="0"/>
        <v>624</v>
      </c>
      <c r="H20" s="5">
        <f t="shared" si="1"/>
        <v>31090</v>
      </c>
      <c r="I20" s="5">
        <f t="shared" si="2"/>
        <v>11575</v>
      </c>
      <c r="J20" s="5">
        <f t="shared" si="3"/>
        <v>4630</v>
      </c>
      <c r="K20" s="5">
        <f t="shared" si="4"/>
        <v>3470</v>
      </c>
      <c r="L20" s="5"/>
      <c r="M20" s="5">
        <f t="shared" si="5"/>
        <v>8000</v>
      </c>
      <c r="N20" s="5"/>
      <c r="O20" s="5"/>
      <c r="P20" s="5"/>
      <c r="Q20" s="33">
        <v>25000</v>
      </c>
      <c r="R20" s="33">
        <v>28940</v>
      </c>
      <c r="S20" s="5"/>
      <c r="T20" s="85">
        <f t="shared" si="6"/>
        <v>1942.1399999999999</v>
      </c>
      <c r="U20" s="6"/>
      <c r="V20" s="6"/>
      <c r="W20" s="6"/>
    </row>
    <row r="21" spans="2:40" ht="11.25">
      <c r="B21" s="49" t="s">
        <v>24</v>
      </c>
      <c r="C21" s="58">
        <v>32369</v>
      </c>
      <c r="D21" s="5"/>
      <c r="E21" s="5"/>
      <c r="F21" s="5"/>
      <c r="G21" s="5">
        <f t="shared" si="0"/>
        <v>624</v>
      </c>
      <c r="H21" s="5">
        <f t="shared" si="1"/>
        <v>31090</v>
      </c>
      <c r="I21" s="5">
        <f t="shared" si="2"/>
        <v>11575</v>
      </c>
      <c r="J21" s="5">
        <f t="shared" si="3"/>
        <v>4630</v>
      </c>
      <c r="K21" s="5">
        <f t="shared" si="4"/>
        <v>3470</v>
      </c>
      <c r="L21" s="5"/>
      <c r="M21" s="5">
        <f t="shared" si="5"/>
        <v>8000</v>
      </c>
      <c r="N21" s="5"/>
      <c r="O21" s="5"/>
      <c r="P21" s="5"/>
      <c r="Q21" s="33">
        <v>25000</v>
      </c>
      <c r="R21" s="33">
        <v>28940</v>
      </c>
      <c r="S21" s="5"/>
      <c r="T21" s="85">
        <f t="shared" si="6"/>
        <v>1942.1399999999999</v>
      </c>
      <c r="U21" s="6"/>
      <c r="V21" s="6"/>
      <c r="W21" s="6"/>
    </row>
    <row r="22" spans="2:40" ht="11.25">
      <c r="B22" s="49" t="s">
        <v>39</v>
      </c>
      <c r="C22" s="58">
        <v>32369</v>
      </c>
      <c r="D22" s="5"/>
      <c r="E22" s="5"/>
      <c r="F22" s="5"/>
      <c r="G22" s="5">
        <f t="shared" si="0"/>
        <v>624</v>
      </c>
      <c r="H22" s="5">
        <f t="shared" si="1"/>
        <v>31090</v>
      </c>
      <c r="I22" s="5">
        <f t="shared" si="2"/>
        <v>11575</v>
      </c>
      <c r="J22" s="5">
        <f t="shared" si="3"/>
        <v>4630</v>
      </c>
      <c r="K22" s="5">
        <f t="shared" si="4"/>
        <v>3470</v>
      </c>
      <c r="L22" s="5"/>
      <c r="M22" s="5">
        <f t="shared" si="5"/>
        <v>8000</v>
      </c>
      <c r="N22" s="5"/>
      <c r="O22" s="5"/>
      <c r="P22" s="5"/>
      <c r="Q22" s="33">
        <v>0</v>
      </c>
      <c r="R22" s="33">
        <v>8000</v>
      </c>
      <c r="S22" s="5"/>
      <c r="T22" s="85">
        <f t="shared" si="6"/>
        <v>1942.1399999999999</v>
      </c>
      <c r="U22" s="6"/>
      <c r="V22" s="6"/>
      <c r="W22" s="6"/>
    </row>
    <row r="23" spans="2:40" ht="11.25">
      <c r="B23" s="49" t="s">
        <v>42</v>
      </c>
      <c r="C23" s="58">
        <v>32369</v>
      </c>
      <c r="D23" s="5"/>
      <c r="E23" s="5"/>
      <c r="F23" s="5"/>
      <c r="G23" s="5">
        <f t="shared" si="0"/>
        <v>624</v>
      </c>
      <c r="H23" s="5">
        <f t="shared" si="1"/>
        <v>31090</v>
      </c>
      <c r="I23" s="5">
        <f t="shared" si="2"/>
        <v>11575</v>
      </c>
      <c r="J23" s="5">
        <f t="shared" si="3"/>
        <v>4630</v>
      </c>
      <c r="K23" s="5">
        <f t="shared" si="4"/>
        <v>3470</v>
      </c>
      <c r="L23" s="5"/>
      <c r="M23" s="5">
        <f t="shared" si="5"/>
        <v>8000</v>
      </c>
      <c r="N23" s="5"/>
      <c r="O23" s="5"/>
      <c r="P23" s="5"/>
      <c r="Q23" s="33">
        <v>25000</v>
      </c>
      <c r="R23" s="33">
        <v>28940</v>
      </c>
      <c r="S23" s="5"/>
      <c r="T23" s="85">
        <f t="shared" si="6"/>
        <v>1942.1399999999999</v>
      </c>
      <c r="U23" s="6"/>
      <c r="V23" s="6"/>
      <c r="W23" s="6"/>
    </row>
    <row r="24" spans="2:40" ht="11.25">
      <c r="B24" s="49" t="s">
        <v>44</v>
      </c>
      <c r="C24" s="58">
        <v>32369</v>
      </c>
      <c r="D24" s="5"/>
      <c r="E24" s="5"/>
      <c r="F24" s="5"/>
      <c r="G24" s="5">
        <f t="shared" si="0"/>
        <v>624</v>
      </c>
      <c r="H24" s="5">
        <f t="shared" si="1"/>
        <v>31090</v>
      </c>
      <c r="I24" s="5">
        <f t="shared" si="2"/>
        <v>11575</v>
      </c>
      <c r="J24" s="5">
        <f t="shared" si="3"/>
        <v>4630</v>
      </c>
      <c r="K24" s="5">
        <f t="shared" si="4"/>
        <v>3470</v>
      </c>
      <c r="L24" s="5"/>
      <c r="M24" s="5">
        <f t="shared" si="5"/>
        <v>8000</v>
      </c>
      <c r="N24" s="5"/>
      <c r="O24" s="5"/>
      <c r="P24" s="5"/>
      <c r="Q24" s="33">
        <v>25000</v>
      </c>
      <c r="R24" s="33">
        <v>28940</v>
      </c>
      <c r="S24" s="5"/>
      <c r="T24" s="85">
        <f t="shared" si="6"/>
        <v>1942.1399999999999</v>
      </c>
      <c r="U24" s="6"/>
      <c r="V24" s="6"/>
      <c r="W24" s="6"/>
    </row>
    <row r="25" spans="2:40" ht="11.25">
      <c r="B25" s="50" t="s">
        <v>2</v>
      </c>
      <c r="C25" s="58"/>
      <c r="D25" s="5"/>
      <c r="E25" s="5"/>
      <c r="F25" s="5"/>
      <c r="G25" s="5"/>
      <c r="H25" s="5"/>
      <c r="I25" s="5"/>
      <c r="J25" s="5"/>
      <c r="K25" s="5"/>
      <c r="L25" s="5"/>
      <c r="M25" s="5"/>
      <c r="N25" s="5"/>
      <c r="O25" s="5"/>
      <c r="P25" s="5"/>
      <c r="Q25" s="33"/>
      <c r="R25" s="33"/>
      <c r="S25" s="5"/>
      <c r="T25" s="85"/>
      <c r="U25" s="6"/>
      <c r="V25" s="6"/>
      <c r="W25" s="6"/>
    </row>
    <row r="26" spans="2:40" ht="11.25">
      <c r="B26" s="49" t="s">
        <v>15</v>
      </c>
      <c r="C26" s="58">
        <v>32369</v>
      </c>
      <c r="D26" s="5"/>
      <c r="E26" s="5"/>
      <c r="F26" s="5"/>
      <c r="G26" s="5">
        <f t="shared" si="0"/>
        <v>624</v>
      </c>
      <c r="H26" s="5">
        <f t="shared" si="1"/>
        <v>31090</v>
      </c>
      <c r="I26" s="5">
        <f t="shared" si="2"/>
        <v>11575</v>
      </c>
      <c r="J26" s="5">
        <f t="shared" si="3"/>
        <v>4630</v>
      </c>
      <c r="K26" s="5">
        <f t="shared" si="4"/>
        <v>3470</v>
      </c>
      <c r="L26" s="5"/>
      <c r="M26" s="5">
        <f t="shared" si="5"/>
        <v>8000</v>
      </c>
      <c r="N26" s="5"/>
      <c r="O26" s="8"/>
      <c r="P26" s="5">
        <f>4650*$A$1</f>
        <v>4650</v>
      </c>
      <c r="Q26" s="33">
        <v>25330.73</v>
      </c>
      <c r="R26" s="33">
        <v>28900</v>
      </c>
      <c r="S26" s="5"/>
      <c r="T26" s="85">
        <f t="shared" ref="T26:T30" si="7">C26*0.06</f>
        <v>1942.1399999999999</v>
      </c>
      <c r="U26" s="6"/>
      <c r="V26" s="6"/>
      <c r="W26" s="6"/>
    </row>
    <row r="27" spans="2:40" ht="11.25">
      <c r="B27" s="49" t="s">
        <v>47</v>
      </c>
      <c r="C27" s="58">
        <v>32369</v>
      </c>
      <c r="D27" s="5"/>
      <c r="E27" s="5"/>
      <c r="F27" s="5"/>
      <c r="G27" s="5">
        <f t="shared" si="0"/>
        <v>624</v>
      </c>
      <c r="H27" s="5">
        <f t="shared" si="1"/>
        <v>31090</v>
      </c>
      <c r="I27" s="5">
        <f t="shared" si="2"/>
        <v>11575</v>
      </c>
      <c r="J27" s="5">
        <f t="shared" si="3"/>
        <v>4630</v>
      </c>
      <c r="K27" s="5">
        <f t="shared" si="4"/>
        <v>3470</v>
      </c>
      <c r="L27" s="5"/>
      <c r="M27" s="5">
        <f t="shared" si="5"/>
        <v>8000</v>
      </c>
      <c r="N27" s="5">
        <f>4000*$A$1</f>
        <v>4000</v>
      </c>
      <c r="O27" s="5"/>
      <c r="P27" s="5"/>
      <c r="Q27" s="33">
        <v>25000</v>
      </c>
      <c r="R27" s="33">
        <v>28940</v>
      </c>
      <c r="S27" s="5"/>
      <c r="T27" s="85">
        <f t="shared" si="7"/>
        <v>1942.1399999999999</v>
      </c>
      <c r="U27" s="6"/>
      <c r="V27" s="6"/>
      <c r="W27" s="6"/>
    </row>
    <row r="28" spans="2:40" ht="11.25">
      <c r="B28" s="49" t="s">
        <v>22</v>
      </c>
      <c r="C28" s="58">
        <v>32369</v>
      </c>
      <c r="D28" s="5"/>
      <c r="E28" s="5"/>
      <c r="F28" s="5"/>
      <c r="G28" s="5">
        <f t="shared" si="0"/>
        <v>624</v>
      </c>
      <c r="H28" s="5">
        <f t="shared" si="1"/>
        <v>31090</v>
      </c>
      <c r="I28" s="5">
        <f t="shared" si="2"/>
        <v>11575</v>
      </c>
      <c r="J28" s="5">
        <f t="shared" si="3"/>
        <v>4630</v>
      </c>
      <c r="K28" s="5">
        <f t="shared" si="4"/>
        <v>3470</v>
      </c>
      <c r="L28" s="5"/>
      <c r="M28" s="5">
        <f t="shared" si="5"/>
        <v>8000</v>
      </c>
      <c r="N28" s="5"/>
      <c r="O28" s="5"/>
      <c r="P28" s="5"/>
      <c r="Q28" s="33">
        <v>25000</v>
      </c>
      <c r="R28" s="33">
        <v>28940</v>
      </c>
      <c r="S28" s="5"/>
      <c r="T28" s="85">
        <f t="shared" si="7"/>
        <v>1942.1399999999999</v>
      </c>
      <c r="U28" s="6"/>
      <c r="V28" s="6"/>
      <c r="W28" s="6"/>
    </row>
    <row r="29" spans="2:40" ht="11.25">
      <c r="B29" s="49" t="s">
        <v>36</v>
      </c>
      <c r="C29" s="58">
        <v>32369</v>
      </c>
      <c r="D29" s="5"/>
      <c r="E29" s="5"/>
      <c r="F29" s="5"/>
      <c r="G29" s="5">
        <f t="shared" si="0"/>
        <v>624</v>
      </c>
      <c r="H29" s="5">
        <f t="shared" si="1"/>
        <v>31090</v>
      </c>
      <c r="I29" s="5">
        <f t="shared" si="2"/>
        <v>11575</v>
      </c>
      <c r="J29" s="5">
        <f t="shared" si="3"/>
        <v>4630</v>
      </c>
      <c r="K29" s="5">
        <f t="shared" si="4"/>
        <v>3470</v>
      </c>
      <c r="L29" s="5"/>
      <c r="M29" s="5">
        <f t="shared" si="5"/>
        <v>8000</v>
      </c>
      <c r="N29" s="5"/>
      <c r="O29" s="5">
        <f>15050*$A$1</f>
        <v>15050</v>
      </c>
      <c r="P29" s="5"/>
      <c r="Q29" s="83">
        <v>35000</v>
      </c>
      <c r="R29" s="33">
        <v>28940</v>
      </c>
      <c r="S29" s="5"/>
      <c r="T29" s="85">
        <f t="shared" si="7"/>
        <v>1942.1399999999999</v>
      </c>
      <c r="U29" s="6"/>
      <c r="V29" s="6"/>
      <c r="W29" s="6"/>
    </row>
    <row r="30" spans="2:40" ht="11.25">
      <c r="B30" s="49" t="s">
        <v>37</v>
      </c>
      <c r="C30" s="58">
        <v>32369</v>
      </c>
      <c r="D30" s="5"/>
      <c r="E30" s="5"/>
      <c r="F30" s="5"/>
      <c r="G30" s="5">
        <f t="shared" si="0"/>
        <v>624</v>
      </c>
      <c r="H30" s="5">
        <f t="shared" si="1"/>
        <v>31090</v>
      </c>
      <c r="I30" s="5">
        <f t="shared" si="2"/>
        <v>11575</v>
      </c>
      <c r="J30" s="5">
        <f t="shared" si="3"/>
        <v>4630</v>
      </c>
      <c r="K30" s="5">
        <f t="shared" si="4"/>
        <v>3470</v>
      </c>
      <c r="L30" s="5"/>
      <c r="M30" s="5">
        <f t="shared" si="5"/>
        <v>8000</v>
      </c>
      <c r="N30" s="5">
        <f>2663*$A$1</f>
        <v>2663</v>
      </c>
      <c r="O30" s="5"/>
      <c r="P30" s="5"/>
      <c r="Q30" s="33">
        <v>25000</v>
      </c>
      <c r="R30" s="33">
        <v>28000</v>
      </c>
      <c r="S30" s="5"/>
      <c r="T30" s="85">
        <f t="shared" si="7"/>
        <v>1942.1399999999999</v>
      </c>
      <c r="U30" s="6"/>
      <c r="V30" s="6"/>
      <c r="W30" s="6"/>
    </row>
    <row r="31" spans="2:40" ht="11.25">
      <c r="B31" s="50" t="s">
        <v>4</v>
      </c>
      <c r="C31" s="58"/>
      <c r="D31" s="5"/>
      <c r="E31" s="5"/>
      <c r="F31" s="5"/>
      <c r="G31" s="5"/>
      <c r="H31" s="5"/>
      <c r="I31" s="5"/>
      <c r="J31" s="5"/>
      <c r="K31" s="5"/>
      <c r="L31" s="5"/>
      <c r="M31" s="5"/>
      <c r="N31" s="5"/>
      <c r="O31" s="5"/>
      <c r="P31" s="5"/>
      <c r="Q31" s="33"/>
      <c r="R31" s="33"/>
      <c r="S31" s="5"/>
      <c r="T31" s="85"/>
      <c r="U31" s="6"/>
      <c r="V31" s="6"/>
      <c r="W31" s="6"/>
    </row>
    <row r="32" spans="2:40" ht="11.25">
      <c r="B32" s="49" t="s">
        <v>25</v>
      </c>
      <c r="C32" s="58">
        <v>32369</v>
      </c>
      <c r="D32" s="5"/>
      <c r="E32" s="5"/>
      <c r="F32" s="5"/>
      <c r="G32" s="5">
        <f t="shared" si="0"/>
        <v>624</v>
      </c>
      <c r="H32" s="5">
        <f t="shared" si="1"/>
        <v>31090</v>
      </c>
      <c r="I32" s="5">
        <f t="shared" si="2"/>
        <v>11575</v>
      </c>
      <c r="J32" s="5">
        <f t="shared" si="3"/>
        <v>4630</v>
      </c>
      <c r="K32" s="5">
        <f t="shared" si="4"/>
        <v>3470</v>
      </c>
      <c r="L32" s="5"/>
      <c r="M32" s="5">
        <f t="shared" si="5"/>
        <v>8000</v>
      </c>
      <c r="N32" s="5"/>
      <c r="O32" s="5">
        <f>9030*$A$1</f>
        <v>9030</v>
      </c>
      <c r="P32" s="5"/>
      <c r="Q32" s="33">
        <v>30000</v>
      </c>
      <c r="R32" s="33">
        <v>49000.4</v>
      </c>
      <c r="S32" s="5"/>
      <c r="T32" s="85">
        <f t="shared" ref="T32:T34" si="8">C32*0.06</f>
        <v>1942.1399999999999</v>
      </c>
      <c r="U32" s="6"/>
      <c r="V32" s="6"/>
      <c r="W32" s="6"/>
    </row>
    <row r="33" spans="2:23" ht="11.25">
      <c r="B33" s="49" t="s">
        <v>26</v>
      </c>
      <c r="C33" s="58">
        <v>32369</v>
      </c>
      <c r="D33" s="5"/>
      <c r="E33" s="5"/>
      <c r="F33" s="5"/>
      <c r="G33" s="5">
        <f t="shared" si="0"/>
        <v>624</v>
      </c>
      <c r="H33" s="5">
        <f t="shared" si="1"/>
        <v>31090</v>
      </c>
      <c r="I33" s="5">
        <f t="shared" si="2"/>
        <v>11575</v>
      </c>
      <c r="J33" s="5">
        <f t="shared" si="3"/>
        <v>4630</v>
      </c>
      <c r="K33" s="5">
        <f t="shared" si="4"/>
        <v>3470</v>
      </c>
      <c r="L33" s="5"/>
      <c r="M33" s="5">
        <f t="shared" si="5"/>
        <v>8000</v>
      </c>
      <c r="N33" s="19">
        <f>2663*$A$1</f>
        <v>2663</v>
      </c>
      <c r="O33" s="32"/>
      <c r="P33" s="19">
        <f>2790*$A$1</f>
        <v>2790</v>
      </c>
      <c r="Q33" s="33">
        <v>25000</v>
      </c>
      <c r="R33" s="33">
        <v>28940</v>
      </c>
      <c r="S33" s="5"/>
      <c r="T33" s="85">
        <f t="shared" si="8"/>
        <v>1942.1399999999999</v>
      </c>
      <c r="U33" s="6"/>
      <c r="V33" s="6"/>
      <c r="W33" s="6"/>
    </row>
    <row r="34" spans="2:23" ht="11.25">
      <c r="B34" s="49" t="s">
        <v>27</v>
      </c>
      <c r="C34" s="58">
        <v>32369</v>
      </c>
      <c r="D34" s="5"/>
      <c r="E34" s="5"/>
      <c r="F34" s="5"/>
      <c r="G34" s="5">
        <f t="shared" si="0"/>
        <v>624</v>
      </c>
      <c r="H34" s="5">
        <f t="shared" si="1"/>
        <v>31090</v>
      </c>
      <c r="I34" s="5">
        <f t="shared" si="2"/>
        <v>11575</v>
      </c>
      <c r="J34" s="5">
        <f t="shared" si="3"/>
        <v>4630</v>
      </c>
      <c r="K34" s="5">
        <f t="shared" si="4"/>
        <v>3470</v>
      </c>
      <c r="L34" s="5"/>
      <c r="M34" s="5">
        <f t="shared" si="5"/>
        <v>8000</v>
      </c>
      <c r="N34" s="5"/>
      <c r="O34" s="5"/>
      <c r="P34" s="5"/>
      <c r="Q34" s="33">
        <v>25000</v>
      </c>
      <c r="R34" s="33">
        <v>28000</v>
      </c>
      <c r="S34" s="5"/>
      <c r="T34" s="85">
        <f t="shared" si="8"/>
        <v>1942.1399999999999</v>
      </c>
      <c r="U34" s="6"/>
      <c r="V34" s="6"/>
      <c r="W34" s="6"/>
    </row>
    <row r="35" spans="2:23" ht="11.25">
      <c r="B35" s="51" t="s">
        <v>6</v>
      </c>
      <c r="C35" s="58"/>
      <c r="D35" s="5"/>
      <c r="E35" s="5"/>
      <c r="F35" s="5"/>
      <c r="G35" s="5"/>
      <c r="H35" s="5"/>
      <c r="I35" s="5"/>
      <c r="J35" s="5"/>
      <c r="K35" s="5"/>
      <c r="L35" s="5"/>
      <c r="M35" s="5"/>
      <c r="N35" s="5"/>
      <c r="O35" s="5"/>
      <c r="P35" s="5"/>
      <c r="Q35" s="33"/>
      <c r="R35" s="33"/>
      <c r="S35" s="5"/>
      <c r="T35" s="85"/>
      <c r="U35" s="6"/>
      <c r="V35" s="6"/>
      <c r="W35" s="6"/>
    </row>
    <row r="36" spans="2:23" ht="11.25">
      <c r="B36" s="49" t="s">
        <v>7</v>
      </c>
      <c r="C36" s="58">
        <v>32369</v>
      </c>
      <c r="D36" s="5"/>
      <c r="E36" s="5"/>
      <c r="F36" s="5"/>
      <c r="G36" s="5">
        <f t="shared" si="0"/>
        <v>624</v>
      </c>
      <c r="H36" s="5">
        <f t="shared" si="1"/>
        <v>31090</v>
      </c>
      <c r="I36" s="5">
        <f t="shared" si="2"/>
        <v>11575</v>
      </c>
      <c r="J36" s="5">
        <f t="shared" si="3"/>
        <v>4630</v>
      </c>
      <c r="K36" s="5">
        <f t="shared" si="4"/>
        <v>3470</v>
      </c>
      <c r="L36" s="5"/>
      <c r="M36" s="5">
        <f t="shared" si="5"/>
        <v>8000</v>
      </c>
      <c r="N36" s="5"/>
      <c r="O36" s="5">
        <f>6017*$A$1</f>
        <v>6017</v>
      </c>
      <c r="P36" s="5"/>
      <c r="Q36" s="33">
        <v>25000</v>
      </c>
      <c r="R36" s="33">
        <v>28940</v>
      </c>
      <c r="S36" s="5"/>
      <c r="T36" s="85">
        <f t="shared" ref="T36:T37" si="9">C36*0.06</f>
        <v>1942.1399999999999</v>
      </c>
      <c r="U36" s="6"/>
      <c r="V36" s="6"/>
      <c r="W36" s="6"/>
    </row>
    <row r="37" spans="2:23" ht="11.25">
      <c r="B37" s="49" t="s">
        <v>31</v>
      </c>
      <c r="C37" s="58">
        <v>32369</v>
      </c>
      <c r="D37" s="5"/>
      <c r="E37" s="5"/>
      <c r="F37" s="5"/>
      <c r="G37" s="5">
        <f t="shared" si="0"/>
        <v>624</v>
      </c>
      <c r="H37" s="5">
        <f t="shared" si="1"/>
        <v>31090</v>
      </c>
      <c r="I37" s="5">
        <f t="shared" si="2"/>
        <v>11575</v>
      </c>
      <c r="J37" s="5">
        <f t="shared" si="3"/>
        <v>4630</v>
      </c>
      <c r="K37" s="5">
        <f t="shared" si="4"/>
        <v>3470</v>
      </c>
      <c r="L37" s="5"/>
      <c r="M37" s="5">
        <f t="shared" si="5"/>
        <v>8000</v>
      </c>
      <c r="N37" s="19">
        <f>2663*$A$1</f>
        <v>2663</v>
      </c>
      <c r="O37" s="32"/>
      <c r="P37" s="19">
        <f>1859*$A$1</f>
        <v>1859</v>
      </c>
      <c r="Q37" s="33">
        <v>25000</v>
      </c>
      <c r="R37" s="33">
        <v>28940</v>
      </c>
      <c r="S37" s="5"/>
      <c r="T37" s="85">
        <f t="shared" si="9"/>
        <v>1942.1399999999999</v>
      </c>
      <c r="U37" s="6"/>
      <c r="V37" s="6"/>
      <c r="W37" s="6"/>
    </row>
    <row r="38" spans="2:23" ht="11.25">
      <c r="B38" s="50" t="s">
        <v>1</v>
      </c>
      <c r="C38" s="58"/>
      <c r="D38" s="5"/>
      <c r="E38" s="5"/>
      <c r="F38" s="5"/>
      <c r="G38" s="5"/>
      <c r="H38" s="5"/>
      <c r="I38" s="5"/>
      <c r="J38" s="5"/>
      <c r="K38" s="5"/>
      <c r="L38" s="5"/>
      <c r="M38" s="5"/>
      <c r="N38" s="19"/>
      <c r="O38" s="19"/>
      <c r="P38" s="19"/>
      <c r="Q38" s="33"/>
      <c r="R38" s="33"/>
      <c r="S38" s="5"/>
      <c r="T38" s="85"/>
      <c r="U38" s="6"/>
      <c r="V38" s="6"/>
      <c r="W38" s="6"/>
    </row>
    <row r="39" spans="2:23" ht="11.25">
      <c r="B39" s="49" t="s">
        <v>34</v>
      </c>
      <c r="C39" s="58">
        <v>32369</v>
      </c>
      <c r="D39" s="5"/>
      <c r="E39" s="5"/>
      <c r="F39" s="5"/>
      <c r="G39" s="5">
        <f t="shared" si="0"/>
        <v>624</v>
      </c>
      <c r="H39" s="5">
        <f t="shared" si="1"/>
        <v>31090</v>
      </c>
      <c r="I39" s="5">
        <f t="shared" si="2"/>
        <v>11575</v>
      </c>
      <c r="J39" s="5">
        <f t="shared" si="3"/>
        <v>4630</v>
      </c>
      <c r="K39" s="5">
        <f t="shared" si="4"/>
        <v>3470</v>
      </c>
      <c r="L39" s="5"/>
      <c r="M39" s="5">
        <f t="shared" si="5"/>
        <v>8000</v>
      </c>
      <c r="N39" s="19"/>
      <c r="O39" s="32"/>
      <c r="P39" s="19">
        <f>1859*$A$1</f>
        <v>1859</v>
      </c>
      <c r="Q39" s="33">
        <v>11082.04</v>
      </c>
      <c r="R39" s="33">
        <v>8000</v>
      </c>
      <c r="S39" s="5"/>
      <c r="T39" s="85">
        <f t="shared" ref="T39:T40" si="10">C39*0.06</f>
        <v>1942.1399999999999</v>
      </c>
      <c r="U39" s="6"/>
      <c r="V39" s="6"/>
      <c r="W39" s="6"/>
    </row>
    <row r="40" spans="2:23" ht="11.25">
      <c r="B40" s="49" t="s">
        <v>33</v>
      </c>
      <c r="C40" s="58">
        <v>32369</v>
      </c>
      <c r="D40" s="5"/>
      <c r="E40" s="5"/>
      <c r="F40" s="5"/>
      <c r="G40" s="5">
        <f t="shared" si="0"/>
        <v>624</v>
      </c>
      <c r="H40" s="5">
        <f t="shared" si="1"/>
        <v>31090</v>
      </c>
      <c r="I40" s="5">
        <f t="shared" si="2"/>
        <v>11575</v>
      </c>
      <c r="J40" s="5">
        <f t="shared" si="3"/>
        <v>4630</v>
      </c>
      <c r="K40" s="5">
        <f t="shared" si="4"/>
        <v>3470</v>
      </c>
      <c r="L40" s="5"/>
      <c r="M40" s="5">
        <f t="shared" si="5"/>
        <v>8000</v>
      </c>
      <c r="N40" s="19"/>
      <c r="O40" s="19">
        <f>6017*$A$1</f>
        <v>6017</v>
      </c>
      <c r="P40" s="19"/>
      <c r="Q40" s="33">
        <v>25000</v>
      </c>
      <c r="R40" s="33">
        <v>28940</v>
      </c>
      <c r="S40" s="5"/>
      <c r="T40" s="85">
        <f t="shared" si="10"/>
        <v>1942.1399999999999</v>
      </c>
      <c r="U40" s="6"/>
      <c r="V40" s="6"/>
      <c r="W40" s="6"/>
    </row>
    <row r="41" spans="2:23" ht="11.25">
      <c r="B41" s="52" t="s">
        <v>13</v>
      </c>
      <c r="C41" s="58"/>
      <c r="D41" s="5"/>
      <c r="E41" s="5"/>
      <c r="F41" s="5"/>
      <c r="G41" s="5"/>
      <c r="H41" s="5"/>
      <c r="I41" s="5"/>
      <c r="J41" s="5"/>
      <c r="K41" s="5"/>
      <c r="L41" s="5"/>
      <c r="M41" s="5"/>
      <c r="N41" s="19"/>
      <c r="O41" s="19"/>
      <c r="P41" s="19"/>
      <c r="Q41" s="33"/>
      <c r="R41" s="33"/>
      <c r="S41" s="5"/>
      <c r="T41" s="85"/>
      <c r="U41" s="6"/>
      <c r="V41" s="6"/>
      <c r="W41" s="6"/>
    </row>
    <row r="42" spans="2:23" ht="11.25">
      <c r="B42" s="49" t="s">
        <v>28</v>
      </c>
      <c r="C42" s="58">
        <v>32369</v>
      </c>
      <c r="D42" s="5"/>
      <c r="E42" s="5"/>
      <c r="F42" s="5"/>
      <c r="G42" s="5">
        <f t="shared" si="0"/>
        <v>624</v>
      </c>
      <c r="H42" s="5">
        <f t="shared" si="1"/>
        <v>31090</v>
      </c>
      <c r="I42" s="5">
        <f t="shared" si="2"/>
        <v>11575</v>
      </c>
      <c r="J42" s="5">
        <f t="shared" si="3"/>
        <v>4630</v>
      </c>
      <c r="K42" s="5">
        <f t="shared" si="4"/>
        <v>3470</v>
      </c>
      <c r="L42" s="5"/>
      <c r="M42" s="5">
        <f t="shared" si="5"/>
        <v>8000</v>
      </c>
      <c r="N42" s="19"/>
      <c r="O42" s="19">
        <f>6017*$A$1</f>
        <v>6017</v>
      </c>
      <c r="P42" s="19"/>
      <c r="Q42" s="33">
        <v>25000</v>
      </c>
      <c r="R42" s="33">
        <v>28940</v>
      </c>
      <c r="S42" s="5"/>
      <c r="T42" s="85">
        <f t="shared" ref="T42:T43" si="11">C42*0.06</f>
        <v>1942.1399999999999</v>
      </c>
      <c r="U42" s="6"/>
      <c r="V42" s="6"/>
      <c r="W42" s="6"/>
    </row>
    <row r="43" spans="2:23" ht="11.25">
      <c r="B43" s="49" t="s">
        <v>29</v>
      </c>
      <c r="C43" s="58">
        <v>32369</v>
      </c>
      <c r="D43" s="5"/>
      <c r="E43" s="5"/>
      <c r="F43" s="5"/>
      <c r="G43" s="5">
        <f t="shared" si="0"/>
        <v>624</v>
      </c>
      <c r="H43" s="5">
        <f t="shared" si="1"/>
        <v>31090</v>
      </c>
      <c r="I43" s="5">
        <f t="shared" si="2"/>
        <v>11575</v>
      </c>
      <c r="J43" s="5">
        <f t="shared" si="3"/>
        <v>4630</v>
      </c>
      <c r="K43" s="5">
        <f t="shared" si="4"/>
        <v>3470</v>
      </c>
      <c r="L43" s="5"/>
      <c r="M43" s="5">
        <f t="shared" si="5"/>
        <v>8000</v>
      </c>
      <c r="N43" s="19">
        <f>2663*$A$1</f>
        <v>2663</v>
      </c>
      <c r="O43" s="32"/>
      <c r="P43" s="19">
        <f>1859*$A$1</f>
        <v>1859</v>
      </c>
      <c r="Q43" s="33">
        <v>25000</v>
      </c>
      <c r="R43" s="33">
        <v>28940</v>
      </c>
      <c r="S43" s="5"/>
      <c r="T43" s="85">
        <f t="shared" si="11"/>
        <v>1942.1399999999999</v>
      </c>
      <c r="U43" s="6"/>
      <c r="V43" s="6"/>
      <c r="W43" s="6"/>
    </row>
    <row r="44" spans="2:23" ht="11.25">
      <c r="B44" s="53" t="s">
        <v>5</v>
      </c>
      <c r="C44" s="58"/>
      <c r="D44" s="5"/>
      <c r="E44" s="5"/>
      <c r="F44" s="5"/>
      <c r="G44" s="5"/>
      <c r="H44" s="5"/>
      <c r="I44" s="5"/>
      <c r="J44" s="5"/>
      <c r="K44" s="5"/>
      <c r="L44" s="5"/>
      <c r="M44" s="5"/>
      <c r="N44" s="5"/>
      <c r="O44" s="5"/>
      <c r="P44" s="5"/>
      <c r="Q44" s="33"/>
      <c r="R44" s="33"/>
      <c r="S44" s="5"/>
      <c r="T44" s="85"/>
      <c r="U44" s="6"/>
      <c r="V44" s="6"/>
      <c r="W44" s="6"/>
    </row>
    <row r="45" spans="2:23" ht="11.25">
      <c r="B45" s="49" t="s">
        <v>35</v>
      </c>
      <c r="C45" s="58">
        <v>32369</v>
      </c>
      <c r="D45" s="5"/>
      <c r="E45" s="5"/>
      <c r="F45" s="5"/>
      <c r="G45" s="5">
        <f t="shared" si="0"/>
        <v>624</v>
      </c>
      <c r="H45" s="5">
        <f t="shared" si="1"/>
        <v>31090</v>
      </c>
      <c r="I45" s="5">
        <f t="shared" si="2"/>
        <v>11575</v>
      </c>
      <c r="J45" s="5">
        <f t="shared" si="3"/>
        <v>4630</v>
      </c>
      <c r="K45" s="5">
        <f t="shared" si="4"/>
        <v>3470</v>
      </c>
      <c r="L45" s="5"/>
      <c r="M45" s="5">
        <f t="shared" si="5"/>
        <v>8000</v>
      </c>
      <c r="N45" s="5"/>
      <c r="O45" s="5"/>
      <c r="P45" s="5"/>
      <c r="Q45" s="33">
        <v>25000</v>
      </c>
      <c r="R45" s="33">
        <v>28940</v>
      </c>
      <c r="S45" s="5"/>
      <c r="T45" s="85">
        <f>C45*0.06</f>
        <v>1942.1399999999999</v>
      </c>
      <c r="U45" s="6"/>
      <c r="V45" s="6"/>
      <c r="W45" s="6"/>
    </row>
    <row r="46" spans="2:23" ht="11.25">
      <c r="B46" s="51" t="s">
        <v>8</v>
      </c>
      <c r="C46" s="58"/>
      <c r="D46" s="5"/>
      <c r="E46" s="5"/>
      <c r="F46" s="5"/>
      <c r="G46" s="5"/>
      <c r="H46" s="5"/>
      <c r="I46" s="5"/>
      <c r="J46" s="5"/>
      <c r="K46" s="5"/>
      <c r="L46" s="5"/>
      <c r="M46" s="5"/>
      <c r="N46" s="5"/>
      <c r="O46" s="5"/>
      <c r="P46" s="5"/>
      <c r="Q46" s="33"/>
      <c r="R46" s="33"/>
      <c r="S46" s="5"/>
      <c r="T46" s="85"/>
      <c r="U46" s="6"/>
      <c r="V46" s="6"/>
      <c r="W46" s="6"/>
    </row>
    <row r="47" spans="2:23" ht="11.25">
      <c r="B47" s="49" t="s">
        <v>32</v>
      </c>
      <c r="C47" s="58">
        <v>32369</v>
      </c>
      <c r="D47" s="5"/>
      <c r="E47" s="5"/>
      <c r="F47" s="5"/>
      <c r="G47" s="5">
        <f t="shared" si="0"/>
        <v>624</v>
      </c>
      <c r="H47" s="5">
        <f t="shared" si="1"/>
        <v>31090</v>
      </c>
      <c r="I47" s="5">
        <f t="shared" si="2"/>
        <v>11575</v>
      </c>
      <c r="J47" s="5">
        <f t="shared" si="3"/>
        <v>4630</v>
      </c>
      <c r="K47" s="5">
        <f t="shared" si="4"/>
        <v>3470</v>
      </c>
      <c r="L47" s="5"/>
      <c r="M47" s="5">
        <f t="shared" si="5"/>
        <v>8000</v>
      </c>
      <c r="N47" s="5"/>
      <c r="O47" s="5"/>
      <c r="P47" s="5"/>
      <c r="Q47" s="33">
        <v>0</v>
      </c>
      <c r="R47" s="33">
        <v>8000</v>
      </c>
      <c r="S47" s="5"/>
      <c r="T47" s="85">
        <f>C47*0.06</f>
        <v>1942.1399999999999</v>
      </c>
      <c r="U47" s="6"/>
      <c r="V47" s="6"/>
      <c r="W47" s="6"/>
    </row>
    <row r="48" spans="2:23" ht="11.25">
      <c r="B48" s="50" t="s">
        <v>12</v>
      </c>
      <c r="C48" s="58"/>
      <c r="D48" s="5"/>
      <c r="E48" s="5"/>
      <c r="F48" s="5"/>
      <c r="G48" s="5"/>
      <c r="H48" s="5"/>
      <c r="I48" s="5"/>
      <c r="J48" s="5"/>
      <c r="K48" s="5"/>
      <c r="L48" s="5"/>
      <c r="M48" s="5"/>
      <c r="N48" s="5"/>
      <c r="O48" s="5"/>
      <c r="P48" s="5"/>
      <c r="Q48" s="33"/>
      <c r="R48" s="33"/>
      <c r="S48" s="5"/>
      <c r="T48" s="85"/>
      <c r="U48" s="6"/>
      <c r="V48" s="6"/>
      <c r="W48" s="6"/>
    </row>
    <row r="49" spans="1:40" ht="11.25">
      <c r="B49" s="49" t="s">
        <v>30</v>
      </c>
      <c r="C49" s="58">
        <v>32369</v>
      </c>
      <c r="D49" s="5"/>
      <c r="E49" s="5"/>
      <c r="F49" s="5"/>
      <c r="G49" s="5">
        <f t="shared" si="0"/>
        <v>624</v>
      </c>
      <c r="H49" s="5">
        <f t="shared" si="1"/>
        <v>31090</v>
      </c>
      <c r="I49" s="5">
        <f t="shared" si="2"/>
        <v>11575</v>
      </c>
      <c r="J49" s="5">
        <f t="shared" si="3"/>
        <v>4630</v>
      </c>
      <c r="K49" s="5">
        <f t="shared" si="4"/>
        <v>3470</v>
      </c>
      <c r="L49" s="5"/>
      <c r="M49" s="5">
        <f t="shared" si="5"/>
        <v>8000</v>
      </c>
      <c r="N49" s="8"/>
      <c r="O49" s="8"/>
      <c r="P49" s="8"/>
      <c r="Q49" s="33">
        <v>25000</v>
      </c>
      <c r="R49" s="33">
        <v>28900</v>
      </c>
      <c r="S49" s="5"/>
      <c r="T49" s="85">
        <f>C49*0.06</f>
        <v>1942.1399999999999</v>
      </c>
    </row>
    <row r="50" spans="1:40" ht="11.25">
      <c r="B50" s="54"/>
      <c r="C50" s="15"/>
      <c r="D50" s="16"/>
      <c r="E50" s="16"/>
      <c r="F50" s="16"/>
      <c r="G50" s="16"/>
      <c r="H50" s="16"/>
      <c r="I50" s="16"/>
      <c r="J50" s="16"/>
      <c r="K50" s="16"/>
      <c r="L50" s="16"/>
      <c r="M50" s="16"/>
      <c r="N50" s="17"/>
      <c r="O50" s="17"/>
      <c r="P50" s="17"/>
      <c r="Q50" s="34"/>
      <c r="R50" s="34"/>
      <c r="S50" s="16"/>
      <c r="T50" s="86"/>
    </row>
    <row r="51" spans="1:40" s="26" customFormat="1">
      <c r="A51" s="21"/>
      <c r="B51" s="27" t="s">
        <v>79</v>
      </c>
      <c r="C51" s="28">
        <f t="shared" ref="C51:K51" si="12">SUM(C9:C49)</f>
        <v>1068177</v>
      </c>
      <c r="D51" s="28">
        <f t="shared" si="12"/>
        <v>0</v>
      </c>
      <c r="E51" s="28">
        <f t="shared" si="12"/>
        <v>0</v>
      </c>
      <c r="F51" s="28">
        <f t="shared" si="12"/>
        <v>0</v>
      </c>
      <c r="G51" s="28">
        <f t="shared" si="12"/>
        <v>20592</v>
      </c>
      <c r="H51" s="28">
        <f t="shared" si="12"/>
        <v>1025970</v>
      </c>
      <c r="I51" s="28">
        <f t="shared" si="12"/>
        <v>381975</v>
      </c>
      <c r="J51" s="28">
        <f t="shared" si="12"/>
        <v>152790</v>
      </c>
      <c r="K51" s="28">
        <f t="shared" si="12"/>
        <v>111040</v>
      </c>
      <c r="L51" s="28"/>
      <c r="M51" s="28">
        <f t="shared" ref="M51:T51" si="13">SUM(M9:M49)</f>
        <v>264000</v>
      </c>
      <c r="N51" s="28">
        <f t="shared" si="13"/>
        <v>33978</v>
      </c>
      <c r="O51" s="28">
        <f t="shared" si="13"/>
        <v>90291</v>
      </c>
      <c r="P51" s="28">
        <f t="shared" si="13"/>
        <v>27895</v>
      </c>
      <c r="Q51" s="28">
        <f t="shared" si="13"/>
        <v>781989.8</v>
      </c>
      <c r="R51" s="28">
        <f t="shared" si="13"/>
        <v>893803.06</v>
      </c>
      <c r="S51" s="28"/>
      <c r="T51" s="87">
        <f t="shared" si="13"/>
        <v>64090.619999999988</v>
      </c>
      <c r="U51" s="25"/>
      <c r="V51" s="25"/>
      <c r="W51" s="25"/>
      <c r="X51" s="25"/>
      <c r="Y51" s="25"/>
      <c r="Z51" s="25"/>
      <c r="AA51" s="25"/>
      <c r="AB51" s="25"/>
      <c r="AC51" s="25"/>
      <c r="AD51" s="25"/>
      <c r="AE51" s="25"/>
      <c r="AF51" s="25"/>
      <c r="AG51" s="25"/>
      <c r="AH51" s="25"/>
      <c r="AI51" s="25"/>
      <c r="AJ51" s="25"/>
      <c r="AK51" s="25"/>
      <c r="AL51" s="25"/>
      <c r="AM51" s="25"/>
      <c r="AN51" s="25"/>
    </row>
    <row r="52" spans="1:40" s="29" customFormat="1" ht="13.5" thickBot="1">
      <c r="B52" s="55"/>
      <c r="C52" s="59"/>
      <c r="D52" s="30"/>
      <c r="E52" s="30"/>
      <c r="F52" s="30"/>
      <c r="G52" s="30"/>
      <c r="H52" s="30"/>
      <c r="I52" s="30"/>
      <c r="J52" s="30"/>
      <c r="K52" s="30"/>
      <c r="L52" s="30"/>
      <c r="M52" s="30"/>
      <c r="N52" s="30"/>
      <c r="O52" s="30"/>
      <c r="P52" s="30"/>
      <c r="Q52" s="30"/>
      <c r="R52" s="30"/>
      <c r="S52" s="30"/>
      <c r="T52" s="46"/>
    </row>
    <row r="53" spans="1:40" ht="13.5" thickTop="1">
      <c r="B53" s="10" t="s">
        <v>59</v>
      </c>
      <c r="C53" s="2" t="s">
        <v>60</v>
      </c>
    </row>
    <row r="54" spans="1:40">
      <c r="B54" s="10" t="s">
        <v>66</v>
      </c>
      <c r="C54" s="2" t="s">
        <v>69</v>
      </c>
    </row>
    <row r="55" spans="1:40">
      <c r="B55" s="10" t="s">
        <v>70</v>
      </c>
      <c r="C55" s="2" t="s">
        <v>71</v>
      </c>
    </row>
    <row r="56" spans="1:40">
      <c r="B56" s="10" t="s">
        <v>74</v>
      </c>
      <c r="C56" s="2" t="s">
        <v>75</v>
      </c>
    </row>
    <row r="57" spans="1:40">
      <c r="B57" s="10" t="s">
        <v>83</v>
      </c>
      <c r="C57" s="2" t="s">
        <v>88</v>
      </c>
    </row>
    <row r="58" spans="1:40">
      <c r="B58" s="10" t="s">
        <v>86</v>
      </c>
      <c r="C58" s="2" t="s">
        <v>89</v>
      </c>
    </row>
    <row r="59" spans="1:40">
      <c r="B59" s="10" t="s">
        <v>87</v>
      </c>
      <c r="C59" s="99" t="s">
        <v>96</v>
      </c>
    </row>
    <row r="63" spans="1:40">
      <c r="B63" s="11"/>
    </row>
    <row r="64" spans="1:40">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sheetData>
  <mergeCells count="7">
    <mergeCell ref="B1:U1"/>
    <mergeCell ref="B2:U2"/>
    <mergeCell ref="B3:U3"/>
    <mergeCell ref="B4:U4"/>
    <mergeCell ref="C6:P6"/>
    <mergeCell ref="Q6:R6"/>
    <mergeCell ref="S6:T6"/>
  </mergeCells>
  <printOptions horizontalCentered="1"/>
  <pageMargins left="0.51181102362204722" right="0.31496062992125984" top="0.74803149606299213" bottom="0.74803149606299213" header="0.31496062992125984" footer="0.31496062992125984"/>
  <pageSetup paperSize="5" scale="68" orientation="landscape" r:id="rId1"/>
  <drawing r:id="rId2"/>
</worksheet>
</file>

<file path=xl/worksheets/sheet4.xml><?xml version="1.0" encoding="utf-8"?>
<worksheet xmlns="http://schemas.openxmlformats.org/spreadsheetml/2006/main" xmlns:r="http://schemas.openxmlformats.org/officeDocument/2006/relationships">
  <sheetPr>
    <tabColor rgb="FF00B050"/>
    <pageSetUpPr fitToPage="1"/>
  </sheetPr>
  <dimension ref="A1:AP89"/>
  <sheetViews>
    <sheetView workbookViewId="0">
      <pane xSplit="2" ySplit="8" topLeftCell="C30" activePane="bottomRight" state="frozen"/>
      <selection pane="topRight" activeCell="C1" sqref="C1"/>
      <selection pane="bottomLeft" activeCell="A9" sqref="A9"/>
      <selection pane="bottomRight" activeCell="C59" sqref="C59"/>
    </sheetView>
  </sheetViews>
  <sheetFormatPr baseColWidth="10" defaultColWidth="11.42578125" defaultRowHeight="12.75"/>
  <cols>
    <col min="1" max="1" width="1.5703125" style="2" customWidth="1"/>
    <col min="2" max="2" width="32.140625" style="12" customWidth="1"/>
    <col min="3" max="3" width="12.85546875" style="2" customWidth="1"/>
    <col min="4" max="4" width="11.140625" style="2" customWidth="1"/>
    <col min="5" max="5" width="10.5703125" style="2" customWidth="1"/>
    <col min="6" max="6" width="12" style="2" customWidth="1"/>
    <col min="7" max="7" width="9.85546875" style="2" bestFit="1" customWidth="1"/>
    <col min="8" max="8" width="12.85546875" style="2" customWidth="1"/>
    <col min="9" max="9" width="12" style="2" customWidth="1"/>
    <col min="10" max="11" width="11.28515625" style="2" bestFit="1" customWidth="1"/>
    <col min="12" max="12" width="2.7109375" style="2" bestFit="1" customWidth="1"/>
    <col min="13" max="13" width="11.28515625" style="2" bestFit="1" customWidth="1"/>
    <col min="14" max="14" width="9.85546875" style="2" bestFit="1" customWidth="1"/>
    <col min="15" max="15" width="11.28515625" style="2" bestFit="1" customWidth="1"/>
    <col min="16" max="16" width="10.85546875" style="2" customWidth="1"/>
    <col min="17" max="17" width="12.28515625" style="2" bestFit="1" customWidth="1"/>
    <col min="18" max="18" width="2.42578125" style="2" customWidth="1"/>
    <col min="19" max="19" width="12.28515625" style="2" bestFit="1" customWidth="1"/>
    <col min="20" max="20" width="2.5703125" style="2" customWidth="1"/>
    <col min="21" max="21" width="11.28515625" style="2" bestFit="1" customWidth="1"/>
    <col min="22" max="22" width="9.85546875" style="2" bestFit="1" customWidth="1"/>
    <col min="23" max="23" width="3.7109375" style="2" customWidth="1"/>
    <col min="24" max="16384" width="11.42578125" style="2"/>
  </cols>
  <sheetData>
    <row r="1" spans="1:42" ht="18.75">
      <c r="A1" s="2">
        <v>1</v>
      </c>
      <c r="B1" s="93" t="s">
        <v>48</v>
      </c>
      <c r="C1" s="93"/>
      <c r="D1" s="93"/>
      <c r="E1" s="93"/>
      <c r="F1" s="93"/>
      <c r="G1" s="93"/>
      <c r="H1" s="93"/>
      <c r="I1" s="93"/>
      <c r="J1" s="93"/>
      <c r="K1" s="93"/>
      <c r="L1" s="93"/>
      <c r="M1" s="93"/>
      <c r="N1" s="93"/>
      <c r="O1" s="93"/>
      <c r="P1" s="93"/>
      <c r="Q1" s="93"/>
      <c r="R1" s="93"/>
      <c r="S1" s="93"/>
      <c r="T1" s="93"/>
      <c r="U1" s="93"/>
      <c r="V1" s="93"/>
      <c r="W1" s="93"/>
    </row>
    <row r="2" spans="1:42" ht="15.75">
      <c r="B2" s="94" t="s">
        <v>54</v>
      </c>
      <c r="C2" s="94"/>
      <c r="D2" s="94"/>
      <c r="E2" s="94"/>
      <c r="F2" s="94"/>
      <c r="G2" s="94"/>
      <c r="H2" s="94"/>
      <c r="I2" s="94"/>
      <c r="J2" s="94"/>
      <c r="K2" s="94"/>
      <c r="L2" s="94"/>
      <c r="M2" s="94"/>
      <c r="N2" s="94"/>
      <c r="O2" s="94"/>
      <c r="P2" s="94"/>
      <c r="Q2" s="94"/>
      <c r="R2" s="94"/>
      <c r="S2" s="94"/>
      <c r="T2" s="94"/>
      <c r="U2" s="94"/>
      <c r="V2" s="94"/>
      <c r="W2" s="94"/>
    </row>
    <row r="3" spans="1:42" ht="15.75">
      <c r="B3" s="94" t="s">
        <v>65</v>
      </c>
      <c r="C3" s="94"/>
      <c r="D3" s="94"/>
      <c r="E3" s="94"/>
      <c r="F3" s="94"/>
      <c r="G3" s="94"/>
      <c r="H3" s="94"/>
      <c r="I3" s="94"/>
      <c r="J3" s="94"/>
      <c r="K3" s="94"/>
      <c r="L3" s="94"/>
      <c r="M3" s="94"/>
      <c r="N3" s="94"/>
      <c r="O3" s="94"/>
      <c r="P3" s="94"/>
      <c r="Q3" s="94"/>
      <c r="R3" s="94"/>
      <c r="S3" s="94"/>
      <c r="T3" s="94"/>
      <c r="U3" s="94"/>
      <c r="V3" s="94"/>
      <c r="W3" s="94"/>
      <c r="X3" s="1"/>
      <c r="Y3" s="1"/>
      <c r="Z3" s="1"/>
      <c r="AA3" s="1"/>
      <c r="AB3" s="1"/>
      <c r="AC3" s="1"/>
      <c r="AD3" s="1"/>
      <c r="AE3" s="1"/>
      <c r="AF3" s="1"/>
      <c r="AG3" s="1"/>
      <c r="AH3" s="1"/>
      <c r="AI3" s="1"/>
      <c r="AJ3" s="1"/>
      <c r="AK3" s="1"/>
      <c r="AL3" s="1"/>
      <c r="AM3" s="1"/>
      <c r="AN3" s="1"/>
      <c r="AO3" s="1"/>
      <c r="AP3" s="1"/>
    </row>
    <row r="4" spans="1:42" ht="15.75">
      <c r="B4" s="94" t="s">
        <v>80</v>
      </c>
      <c r="C4" s="94"/>
      <c r="D4" s="94"/>
      <c r="E4" s="94"/>
      <c r="F4" s="94"/>
      <c r="G4" s="94"/>
      <c r="H4" s="94"/>
      <c r="I4" s="94"/>
      <c r="J4" s="94"/>
      <c r="K4" s="94"/>
      <c r="L4" s="94"/>
      <c r="M4" s="94"/>
      <c r="N4" s="94"/>
      <c r="O4" s="94"/>
      <c r="P4" s="94"/>
      <c r="Q4" s="94"/>
      <c r="R4" s="94"/>
      <c r="S4" s="94"/>
      <c r="T4" s="94"/>
      <c r="U4" s="94"/>
      <c r="V4" s="94"/>
      <c r="W4" s="94"/>
      <c r="X4" s="1"/>
      <c r="Y4" s="1"/>
      <c r="Z4" s="1"/>
      <c r="AA4" s="1"/>
      <c r="AB4" s="1"/>
      <c r="AC4" s="1"/>
      <c r="AD4" s="1"/>
      <c r="AE4" s="1"/>
      <c r="AF4" s="1"/>
      <c r="AG4" s="1"/>
      <c r="AH4" s="1"/>
      <c r="AI4" s="1"/>
      <c r="AJ4" s="1"/>
      <c r="AK4" s="1"/>
      <c r="AL4" s="1"/>
      <c r="AM4" s="1"/>
      <c r="AN4" s="1"/>
      <c r="AO4" s="1"/>
      <c r="AP4" s="1"/>
    </row>
    <row r="5" spans="1:42" ht="16.5" thickBot="1">
      <c r="B5" s="82"/>
      <c r="C5" s="82"/>
      <c r="D5" s="82"/>
      <c r="E5" s="82"/>
      <c r="F5" s="82"/>
      <c r="G5" s="82"/>
      <c r="H5" s="82"/>
      <c r="I5" s="82"/>
      <c r="J5" s="82"/>
      <c r="K5" s="82"/>
      <c r="L5" s="82"/>
      <c r="M5" s="82"/>
      <c r="N5" s="82"/>
      <c r="O5" s="82"/>
      <c r="P5" s="82"/>
      <c r="Q5" s="82"/>
      <c r="R5" s="90"/>
      <c r="S5" s="82"/>
      <c r="T5" s="90"/>
      <c r="U5" s="82"/>
      <c r="V5" s="82"/>
      <c r="W5" s="82"/>
      <c r="X5" s="1"/>
      <c r="Y5" s="1"/>
      <c r="Z5" s="1"/>
      <c r="AA5" s="1"/>
      <c r="AB5" s="1"/>
      <c r="AC5" s="1"/>
      <c r="AD5" s="1"/>
      <c r="AE5" s="1"/>
      <c r="AF5" s="1"/>
      <c r="AG5" s="1"/>
      <c r="AH5" s="1"/>
      <c r="AI5" s="1"/>
      <c r="AJ5" s="1"/>
      <c r="AK5" s="1"/>
      <c r="AL5" s="1"/>
      <c r="AM5" s="1"/>
      <c r="AN5" s="1"/>
      <c r="AO5" s="1"/>
      <c r="AP5" s="1"/>
    </row>
    <row r="6" spans="1:42" ht="20.25" thickTop="1" thickBot="1">
      <c r="B6" s="31"/>
      <c r="C6" s="95" t="s">
        <v>68</v>
      </c>
      <c r="D6" s="96"/>
      <c r="E6" s="96"/>
      <c r="F6" s="96"/>
      <c r="G6" s="96"/>
      <c r="H6" s="96"/>
      <c r="I6" s="96"/>
      <c r="J6" s="96"/>
      <c r="K6" s="96"/>
      <c r="L6" s="96"/>
      <c r="M6" s="96"/>
      <c r="N6" s="96"/>
      <c r="O6" s="96"/>
      <c r="P6" s="97"/>
      <c r="Q6" s="95" t="s">
        <v>72</v>
      </c>
      <c r="R6" s="96"/>
      <c r="S6" s="97"/>
      <c r="T6" s="91"/>
      <c r="U6" s="95" t="s">
        <v>73</v>
      </c>
      <c r="V6" s="97"/>
      <c r="W6" s="31"/>
      <c r="X6" s="1"/>
      <c r="Y6" s="1"/>
      <c r="Z6" s="1"/>
      <c r="AA6" s="1"/>
      <c r="AB6" s="1"/>
      <c r="AC6" s="1"/>
      <c r="AD6" s="1"/>
      <c r="AE6" s="1"/>
      <c r="AF6" s="1"/>
      <c r="AG6" s="1"/>
      <c r="AH6" s="1"/>
      <c r="AI6" s="1"/>
      <c r="AJ6" s="1"/>
      <c r="AK6" s="1"/>
      <c r="AL6" s="1"/>
      <c r="AM6" s="1"/>
      <c r="AN6" s="1"/>
      <c r="AO6" s="1"/>
      <c r="AP6" s="1"/>
    </row>
    <row r="7" spans="1:42" s="3" customFormat="1" ht="37.5" customHeight="1" thickTop="1" thickBot="1">
      <c r="A7" s="2"/>
      <c r="B7" s="47"/>
      <c r="C7" s="56" t="s">
        <v>46</v>
      </c>
      <c r="D7" s="20" t="s">
        <v>62</v>
      </c>
      <c r="E7" s="20" t="s">
        <v>63</v>
      </c>
      <c r="F7" s="20" t="s">
        <v>58</v>
      </c>
      <c r="G7" s="20" t="s">
        <v>55</v>
      </c>
      <c r="H7" s="20" t="s">
        <v>45</v>
      </c>
      <c r="I7" s="20" t="s">
        <v>49</v>
      </c>
      <c r="J7" s="20" t="s">
        <v>50</v>
      </c>
      <c r="K7" s="20" t="s">
        <v>51</v>
      </c>
      <c r="L7" s="20"/>
      <c r="M7" s="20" t="s">
        <v>9</v>
      </c>
      <c r="N7" s="20" t="s">
        <v>0</v>
      </c>
      <c r="O7" s="20" t="s">
        <v>56</v>
      </c>
      <c r="P7" s="20" t="s">
        <v>57</v>
      </c>
      <c r="Q7" s="20" t="s">
        <v>84</v>
      </c>
      <c r="R7" s="20"/>
      <c r="S7" s="20" t="s">
        <v>85</v>
      </c>
      <c r="T7" s="20"/>
      <c r="U7" s="20" t="s">
        <v>11</v>
      </c>
      <c r="V7" s="88" t="s">
        <v>10</v>
      </c>
      <c r="W7" s="1"/>
      <c r="X7" s="1"/>
      <c r="Y7" s="1"/>
      <c r="Z7" s="1"/>
      <c r="AA7" s="1"/>
      <c r="AB7" s="1"/>
      <c r="AC7" s="1"/>
      <c r="AD7" s="1"/>
      <c r="AE7" s="1"/>
      <c r="AF7" s="1"/>
      <c r="AG7" s="1"/>
      <c r="AH7" s="1"/>
      <c r="AI7" s="1"/>
      <c r="AJ7" s="1"/>
      <c r="AK7" s="1"/>
      <c r="AL7" s="1"/>
      <c r="AM7" s="1"/>
      <c r="AN7" s="1"/>
      <c r="AO7" s="1"/>
      <c r="AP7" s="1"/>
    </row>
    <row r="8" spans="1:42" ht="12" thickTop="1">
      <c r="B8" s="48" t="s">
        <v>3</v>
      </c>
      <c r="C8" s="57"/>
      <c r="D8" s="4"/>
      <c r="E8" s="4"/>
      <c r="F8" s="4"/>
      <c r="G8" s="4"/>
      <c r="H8" s="4"/>
      <c r="I8" s="4"/>
      <c r="J8" s="4"/>
      <c r="K8" s="4"/>
      <c r="L8" s="4"/>
      <c r="M8" s="4"/>
      <c r="N8" s="4"/>
      <c r="O8" s="4"/>
      <c r="P8" s="4"/>
      <c r="Q8" s="13"/>
      <c r="R8" s="13"/>
      <c r="S8" s="13"/>
      <c r="T8" s="4"/>
      <c r="U8" s="13"/>
      <c r="V8" s="84"/>
      <c r="W8" s="1"/>
      <c r="X8" s="1"/>
      <c r="Y8" s="1"/>
      <c r="Z8" s="1"/>
      <c r="AA8" s="1"/>
      <c r="AB8" s="1"/>
      <c r="AC8" s="1"/>
      <c r="AD8" s="1"/>
      <c r="AE8" s="1"/>
      <c r="AF8" s="1"/>
      <c r="AG8" s="1"/>
      <c r="AH8" s="1"/>
      <c r="AI8" s="1"/>
      <c r="AJ8" s="1"/>
      <c r="AK8" s="1"/>
      <c r="AL8" s="1"/>
      <c r="AM8" s="1"/>
      <c r="AN8" s="1"/>
      <c r="AO8" s="1"/>
      <c r="AP8" s="1"/>
    </row>
    <row r="9" spans="1:42" ht="11.25">
      <c r="B9" s="49" t="s">
        <v>40</v>
      </c>
      <c r="C9" s="58">
        <v>32369</v>
      </c>
      <c r="D9" s="5"/>
      <c r="E9" s="5"/>
      <c r="F9" s="5"/>
      <c r="G9" s="5">
        <f t="shared" ref="G9:G49" si="0">624*$A$1</f>
        <v>624</v>
      </c>
      <c r="H9" s="5">
        <f t="shared" ref="H9:H49" si="1">31090*$A$1</f>
        <v>31090</v>
      </c>
      <c r="I9" s="5">
        <f t="shared" ref="I9:I49" si="2">11575*$A$1</f>
        <v>11575</v>
      </c>
      <c r="J9" s="5">
        <f t="shared" ref="J9:J49" si="3">4630*$A$1</f>
        <v>4630</v>
      </c>
      <c r="K9" s="5">
        <f t="shared" ref="K9:K49" si="4">3470*$A$1</f>
        <v>3470</v>
      </c>
      <c r="L9" s="5"/>
      <c r="M9" s="5">
        <f t="shared" ref="M9:M49" si="5">8000*$A$1</f>
        <v>8000</v>
      </c>
      <c r="N9" s="5"/>
      <c r="O9" s="5">
        <f>48160*1</f>
        <v>48160</v>
      </c>
      <c r="P9" s="5"/>
      <c r="Q9" s="83">
        <v>40000</v>
      </c>
      <c r="R9" s="83"/>
      <c r="S9" s="33">
        <v>28940</v>
      </c>
      <c r="T9" s="5"/>
      <c r="U9" s="14">
        <f>C9*0.2</f>
        <v>6473.8</v>
      </c>
      <c r="V9" s="85">
        <f>C9*0.06</f>
        <v>1942.1399999999999</v>
      </c>
      <c r="W9" s="6"/>
      <c r="X9" s="6"/>
      <c r="Y9" s="6"/>
    </row>
    <row r="10" spans="1:42" ht="11.25">
      <c r="B10" s="49" t="s">
        <v>16</v>
      </c>
      <c r="C10" s="58">
        <v>32369</v>
      </c>
      <c r="D10" s="5"/>
      <c r="E10" s="5"/>
      <c r="F10" s="5"/>
      <c r="G10" s="5">
        <f t="shared" si="0"/>
        <v>624</v>
      </c>
      <c r="H10" s="5">
        <f t="shared" si="1"/>
        <v>31090</v>
      </c>
      <c r="I10" s="5">
        <f t="shared" si="2"/>
        <v>11575</v>
      </c>
      <c r="J10" s="5">
        <f t="shared" si="3"/>
        <v>4630</v>
      </c>
      <c r="K10" s="5">
        <f t="shared" si="4"/>
        <v>3470</v>
      </c>
      <c r="L10" s="5"/>
      <c r="M10" s="5">
        <f t="shared" si="5"/>
        <v>8000</v>
      </c>
      <c r="N10" s="5"/>
      <c r="O10" s="5"/>
      <c r="P10" s="5"/>
      <c r="Q10" s="83">
        <v>25000</v>
      </c>
      <c r="R10" s="83"/>
      <c r="S10" s="33">
        <v>28940</v>
      </c>
      <c r="T10" s="5"/>
      <c r="U10" s="14">
        <f t="shared" ref="U10:U24" si="6">C10*0.2</f>
        <v>6473.8</v>
      </c>
      <c r="V10" s="85">
        <f t="shared" ref="V10:V24" si="7">C10*0.06</f>
        <v>1942.1399999999999</v>
      </c>
      <c r="W10" s="6"/>
      <c r="X10" s="7"/>
      <c r="Y10" s="7"/>
      <c r="Z10" s="1"/>
      <c r="AA10" s="1"/>
      <c r="AB10" s="1"/>
      <c r="AC10" s="1"/>
      <c r="AD10" s="1"/>
      <c r="AE10" s="1"/>
      <c r="AF10" s="1"/>
      <c r="AG10" s="1"/>
      <c r="AH10" s="1"/>
      <c r="AI10" s="1"/>
      <c r="AJ10" s="1"/>
      <c r="AK10" s="1"/>
      <c r="AL10" s="1"/>
      <c r="AM10" s="1"/>
      <c r="AN10" s="1"/>
      <c r="AO10" s="1"/>
      <c r="AP10" s="1"/>
    </row>
    <row r="11" spans="1:42" ht="11.25">
      <c r="B11" s="49" t="s">
        <v>18</v>
      </c>
      <c r="C11" s="58">
        <v>32369</v>
      </c>
      <c r="D11" s="5"/>
      <c r="E11" s="5"/>
      <c r="F11" s="5"/>
      <c r="G11" s="5">
        <f t="shared" si="0"/>
        <v>624</v>
      </c>
      <c r="H11" s="5">
        <f t="shared" si="1"/>
        <v>31090</v>
      </c>
      <c r="I11" s="5">
        <f t="shared" si="2"/>
        <v>11575</v>
      </c>
      <c r="J11" s="5">
        <f t="shared" si="3"/>
        <v>4630</v>
      </c>
      <c r="K11" s="5">
        <f t="shared" si="4"/>
        <v>3470</v>
      </c>
      <c r="L11" s="5"/>
      <c r="M11" s="5">
        <f t="shared" si="5"/>
        <v>8000</v>
      </c>
      <c r="N11" s="5"/>
      <c r="O11" s="5"/>
      <c r="P11" s="5"/>
      <c r="Q11" s="83">
        <v>25000</v>
      </c>
      <c r="R11" s="83"/>
      <c r="S11" s="33">
        <v>28940</v>
      </c>
      <c r="T11" s="5"/>
      <c r="U11" s="14">
        <f t="shared" si="6"/>
        <v>6473.8</v>
      </c>
      <c r="V11" s="85">
        <f t="shared" si="7"/>
        <v>1942.1399999999999</v>
      </c>
      <c r="W11" s="6"/>
      <c r="X11" s="7"/>
      <c r="Y11" s="7"/>
      <c r="Z11" s="1"/>
      <c r="AA11" s="1"/>
      <c r="AB11" s="1"/>
      <c r="AC11" s="1"/>
      <c r="AD11" s="1"/>
      <c r="AE11" s="1"/>
      <c r="AF11" s="1"/>
      <c r="AG11" s="1"/>
      <c r="AH11" s="1"/>
      <c r="AI11" s="1"/>
      <c r="AJ11" s="1"/>
      <c r="AK11" s="1"/>
      <c r="AL11" s="1"/>
      <c r="AM11" s="1"/>
      <c r="AN11" s="1"/>
      <c r="AO11" s="1"/>
      <c r="AP11" s="1"/>
    </row>
    <row r="12" spans="1:42" ht="11.25">
      <c r="B12" s="49" t="s">
        <v>20</v>
      </c>
      <c r="C12" s="58">
        <v>32369</v>
      </c>
      <c r="D12" s="5"/>
      <c r="E12" s="5"/>
      <c r="F12" s="5"/>
      <c r="G12" s="5">
        <f t="shared" si="0"/>
        <v>624</v>
      </c>
      <c r="H12" s="5">
        <f t="shared" si="1"/>
        <v>31090</v>
      </c>
      <c r="I12" s="5">
        <f t="shared" si="2"/>
        <v>11575</v>
      </c>
      <c r="J12" s="5">
        <f t="shared" si="3"/>
        <v>4630</v>
      </c>
      <c r="K12" s="5">
        <f t="shared" si="4"/>
        <v>3470</v>
      </c>
      <c r="L12" s="5"/>
      <c r="M12" s="5">
        <f t="shared" si="5"/>
        <v>8000</v>
      </c>
      <c r="N12" s="5"/>
      <c r="O12" s="5"/>
      <c r="P12" s="5"/>
      <c r="Q12" s="83">
        <v>25000</v>
      </c>
      <c r="R12" s="83"/>
      <c r="S12" s="33">
        <v>28940</v>
      </c>
      <c r="T12" s="5"/>
      <c r="U12" s="14">
        <f t="shared" si="6"/>
        <v>6473.8</v>
      </c>
      <c r="V12" s="85">
        <f t="shared" si="7"/>
        <v>1942.1399999999999</v>
      </c>
      <c r="W12" s="6"/>
      <c r="X12" s="6"/>
      <c r="Y12" s="6"/>
    </row>
    <row r="13" spans="1:42" ht="11.25">
      <c r="B13" s="49" t="s">
        <v>23</v>
      </c>
      <c r="C13" s="58">
        <v>32369</v>
      </c>
      <c r="D13" s="5"/>
      <c r="E13" s="5"/>
      <c r="F13" s="5"/>
      <c r="G13" s="5">
        <f t="shared" si="0"/>
        <v>624</v>
      </c>
      <c r="H13" s="5">
        <f t="shared" si="1"/>
        <v>31090</v>
      </c>
      <c r="I13" s="5">
        <f t="shared" si="2"/>
        <v>11575</v>
      </c>
      <c r="J13" s="5">
        <f t="shared" si="3"/>
        <v>4630</v>
      </c>
      <c r="K13" s="5">
        <f t="shared" si="4"/>
        <v>3470</v>
      </c>
      <c r="L13" s="5"/>
      <c r="M13" s="5">
        <f t="shared" si="5"/>
        <v>8000</v>
      </c>
      <c r="N13" s="5">
        <f>4000*1</f>
        <v>4000</v>
      </c>
      <c r="O13" s="5"/>
      <c r="P13" s="5"/>
      <c r="Q13" s="83">
        <v>25000</v>
      </c>
      <c r="R13" s="83"/>
      <c r="S13" s="33">
        <v>49880</v>
      </c>
      <c r="T13" s="5"/>
      <c r="U13" s="14">
        <f t="shared" si="6"/>
        <v>6473.8</v>
      </c>
      <c r="V13" s="85">
        <f t="shared" si="7"/>
        <v>1942.1399999999999</v>
      </c>
      <c r="W13" s="6"/>
      <c r="X13" s="6"/>
      <c r="Y13" s="6"/>
    </row>
    <row r="14" spans="1:42" ht="11.25">
      <c r="B14" s="49" t="s">
        <v>38</v>
      </c>
      <c r="C14" s="58">
        <v>32369</v>
      </c>
      <c r="D14" s="5"/>
      <c r="E14" s="5"/>
      <c r="F14" s="5"/>
      <c r="G14" s="5">
        <f t="shared" si="0"/>
        <v>624</v>
      </c>
      <c r="H14" s="5">
        <f t="shared" si="1"/>
        <v>31090</v>
      </c>
      <c r="I14" s="5">
        <f t="shared" si="2"/>
        <v>11575</v>
      </c>
      <c r="J14" s="5">
        <f t="shared" si="3"/>
        <v>4630</v>
      </c>
      <c r="K14" s="5">
        <f t="shared" si="4"/>
        <v>3470</v>
      </c>
      <c r="L14" s="5"/>
      <c r="M14" s="5">
        <f t="shared" si="5"/>
        <v>8000</v>
      </c>
      <c r="N14" s="5">
        <f>2663*1</f>
        <v>2663</v>
      </c>
      <c r="O14" s="5"/>
      <c r="P14" s="5"/>
      <c r="Q14" s="83">
        <v>25000</v>
      </c>
      <c r="R14" s="83"/>
      <c r="S14" s="33">
        <v>28940</v>
      </c>
      <c r="T14" s="5"/>
      <c r="U14" s="14">
        <f t="shared" si="6"/>
        <v>6473.8</v>
      </c>
      <c r="V14" s="85">
        <f t="shared" si="7"/>
        <v>1942.1399999999999</v>
      </c>
      <c r="W14" s="6"/>
      <c r="X14" s="6"/>
      <c r="Y14" s="6"/>
    </row>
    <row r="15" spans="1:42" ht="11.25">
      <c r="B15" s="49" t="s">
        <v>41</v>
      </c>
      <c r="C15" s="58">
        <v>32369</v>
      </c>
      <c r="D15" s="5"/>
      <c r="E15" s="5"/>
      <c r="F15" s="5"/>
      <c r="G15" s="5">
        <f t="shared" si="0"/>
        <v>624</v>
      </c>
      <c r="H15" s="5">
        <f t="shared" si="1"/>
        <v>31090</v>
      </c>
      <c r="I15" s="5">
        <f t="shared" si="2"/>
        <v>11575</v>
      </c>
      <c r="J15" s="5">
        <f t="shared" si="3"/>
        <v>4630</v>
      </c>
      <c r="K15" s="5">
        <v>0</v>
      </c>
      <c r="L15" s="9" t="s">
        <v>59</v>
      </c>
      <c r="M15" s="5">
        <f t="shared" si="5"/>
        <v>8000</v>
      </c>
      <c r="N15" s="5">
        <f>10000*$A$1</f>
        <v>10000</v>
      </c>
      <c r="O15" s="5"/>
      <c r="P15" s="5"/>
      <c r="Q15" s="83">
        <v>24785.5</v>
      </c>
      <c r="R15" s="89" t="s">
        <v>90</v>
      </c>
      <c r="S15" s="33">
        <v>18709</v>
      </c>
      <c r="T15" s="89" t="s">
        <v>87</v>
      </c>
      <c r="U15" s="14">
        <f t="shared" si="6"/>
        <v>6473.8</v>
      </c>
      <c r="V15" s="85">
        <f t="shared" si="7"/>
        <v>1942.1399999999999</v>
      </c>
      <c r="W15" s="6"/>
      <c r="X15" s="6"/>
      <c r="Y15" s="6"/>
    </row>
    <row r="16" spans="1:42" ht="11.25">
      <c r="B16" s="49" t="s">
        <v>43</v>
      </c>
      <c r="C16" s="58">
        <v>32369</v>
      </c>
      <c r="D16" s="5"/>
      <c r="E16" s="5"/>
      <c r="F16" s="5"/>
      <c r="G16" s="5">
        <f t="shared" si="0"/>
        <v>624</v>
      </c>
      <c r="H16" s="5">
        <f t="shared" si="1"/>
        <v>31090</v>
      </c>
      <c r="I16" s="5">
        <f t="shared" si="2"/>
        <v>11575</v>
      </c>
      <c r="J16" s="5">
        <f t="shared" si="3"/>
        <v>4630</v>
      </c>
      <c r="K16" s="5">
        <f t="shared" si="4"/>
        <v>3470</v>
      </c>
      <c r="L16" s="5"/>
      <c r="M16" s="5">
        <f t="shared" si="5"/>
        <v>8000</v>
      </c>
      <c r="N16" s="5">
        <f>2663*$A$1</f>
        <v>2663</v>
      </c>
      <c r="O16" s="5"/>
      <c r="P16" s="5"/>
      <c r="Q16" s="83">
        <v>25000</v>
      </c>
      <c r="R16" s="83"/>
      <c r="S16" s="33">
        <v>28940</v>
      </c>
      <c r="T16" s="5"/>
      <c r="U16" s="14">
        <f t="shared" si="6"/>
        <v>6473.8</v>
      </c>
      <c r="V16" s="85">
        <f t="shared" si="7"/>
        <v>1942.1399999999999</v>
      </c>
      <c r="W16" s="6"/>
      <c r="X16" s="6"/>
      <c r="Y16" s="6"/>
    </row>
    <row r="17" spans="2:42" ht="11.25">
      <c r="B17" s="49" t="s">
        <v>14</v>
      </c>
      <c r="C17" s="58">
        <v>32369</v>
      </c>
      <c r="D17" s="5"/>
      <c r="E17" s="5"/>
      <c r="F17" s="5"/>
      <c r="G17" s="5">
        <f>624*$A$1</f>
        <v>624</v>
      </c>
      <c r="H17" s="5">
        <f>31090*$A$1</f>
        <v>31090</v>
      </c>
      <c r="I17" s="5">
        <f>11575*$A$1</f>
        <v>11575</v>
      </c>
      <c r="J17" s="5">
        <f>4630*$A$1</f>
        <v>4630</v>
      </c>
      <c r="K17" s="5">
        <f>3470*$A$1</f>
        <v>3470</v>
      </c>
      <c r="L17" s="5"/>
      <c r="M17" s="5">
        <f>8000*$A$1</f>
        <v>8000</v>
      </c>
      <c r="N17" s="5"/>
      <c r="O17" s="5"/>
      <c r="P17" s="5"/>
      <c r="Q17" s="83">
        <v>25000</v>
      </c>
      <c r="R17" s="83"/>
      <c r="S17" s="33">
        <v>28940</v>
      </c>
      <c r="T17" s="5"/>
      <c r="U17" s="14">
        <f t="shared" si="6"/>
        <v>6473.8</v>
      </c>
      <c r="V17" s="85">
        <f t="shared" si="7"/>
        <v>1942.1399999999999</v>
      </c>
      <c r="W17" s="6"/>
      <c r="X17" s="7"/>
      <c r="Y17" s="7"/>
      <c r="Z17" s="1"/>
      <c r="AA17" s="1"/>
      <c r="AB17" s="1"/>
      <c r="AC17" s="1"/>
      <c r="AD17" s="1"/>
      <c r="AE17" s="1"/>
      <c r="AF17" s="1"/>
      <c r="AG17" s="1"/>
      <c r="AH17" s="1"/>
      <c r="AI17" s="1"/>
      <c r="AJ17" s="1"/>
      <c r="AK17" s="1"/>
      <c r="AL17" s="1"/>
      <c r="AM17" s="1"/>
      <c r="AN17" s="1"/>
      <c r="AO17" s="1"/>
      <c r="AP17" s="1"/>
    </row>
    <row r="18" spans="2:42" ht="11.25">
      <c r="B18" s="49" t="s">
        <v>17</v>
      </c>
      <c r="C18" s="58">
        <v>32369</v>
      </c>
      <c r="D18" s="5"/>
      <c r="E18" s="5"/>
      <c r="F18" s="5"/>
      <c r="G18" s="5">
        <f t="shared" si="0"/>
        <v>624</v>
      </c>
      <c r="H18" s="5">
        <f t="shared" si="1"/>
        <v>31090</v>
      </c>
      <c r="I18" s="5">
        <f t="shared" si="2"/>
        <v>11575</v>
      </c>
      <c r="J18" s="5">
        <f t="shared" si="3"/>
        <v>4630</v>
      </c>
      <c r="K18" s="5">
        <f t="shared" si="4"/>
        <v>3470</v>
      </c>
      <c r="L18" s="5"/>
      <c r="M18" s="5">
        <f t="shared" si="5"/>
        <v>8000</v>
      </c>
      <c r="N18" s="5"/>
      <c r="O18" s="8"/>
      <c r="P18" s="5">
        <f>14878*1</f>
        <v>14878</v>
      </c>
      <c r="Q18" s="83">
        <v>25000</v>
      </c>
      <c r="R18" s="83"/>
      <c r="S18" s="33">
        <v>28940</v>
      </c>
      <c r="T18" s="5"/>
      <c r="U18" s="14">
        <f t="shared" si="6"/>
        <v>6473.8</v>
      </c>
      <c r="V18" s="85">
        <f t="shared" si="7"/>
        <v>1942.1399999999999</v>
      </c>
      <c r="W18" s="6"/>
      <c r="X18" s="7"/>
      <c r="Y18" s="7"/>
      <c r="Z18" s="1"/>
      <c r="AA18" s="1"/>
      <c r="AB18" s="1"/>
      <c r="AC18" s="1"/>
      <c r="AD18" s="1"/>
      <c r="AE18" s="1"/>
      <c r="AF18" s="1"/>
      <c r="AG18" s="1"/>
      <c r="AH18" s="1"/>
      <c r="AI18" s="1"/>
      <c r="AJ18" s="1"/>
      <c r="AK18" s="1"/>
      <c r="AL18" s="1"/>
      <c r="AM18" s="1"/>
      <c r="AN18" s="1"/>
      <c r="AO18" s="1"/>
      <c r="AP18" s="1"/>
    </row>
    <row r="19" spans="2:42" ht="11.25">
      <c r="B19" s="49" t="s">
        <v>19</v>
      </c>
      <c r="C19" s="58">
        <v>32369</v>
      </c>
      <c r="D19" s="5"/>
      <c r="E19" s="5"/>
      <c r="F19" s="5"/>
      <c r="G19" s="5">
        <f t="shared" si="0"/>
        <v>624</v>
      </c>
      <c r="H19" s="5">
        <f t="shared" si="1"/>
        <v>31090</v>
      </c>
      <c r="I19" s="5">
        <f t="shared" si="2"/>
        <v>11575</v>
      </c>
      <c r="J19" s="5">
        <f t="shared" si="3"/>
        <v>4630</v>
      </c>
      <c r="K19" s="5">
        <f t="shared" si="4"/>
        <v>3470</v>
      </c>
      <c r="L19" s="5"/>
      <c r="M19" s="5">
        <f t="shared" si="5"/>
        <v>8000</v>
      </c>
      <c r="N19" s="5"/>
      <c r="O19" s="5"/>
      <c r="P19" s="5"/>
      <c r="Q19" s="83">
        <v>25000</v>
      </c>
      <c r="R19" s="83"/>
      <c r="S19" s="33">
        <v>28543.07</v>
      </c>
      <c r="T19" s="5"/>
      <c r="U19" s="14">
        <f t="shared" si="6"/>
        <v>6473.8</v>
      </c>
      <c r="V19" s="85">
        <f t="shared" si="7"/>
        <v>1942.1399999999999</v>
      </c>
      <c r="W19" s="6"/>
      <c r="X19" s="6"/>
      <c r="Y19" s="6"/>
    </row>
    <row r="20" spans="2:42" ht="11.25">
      <c r="B20" s="49" t="s">
        <v>21</v>
      </c>
      <c r="C20" s="58">
        <v>32369</v>
      </c>
      <c r="D20" s="5"/>
      <c r="E20" s="5"/>
      <c r="F20" s="5"/>
      <c r="G20" s="5">
        <f t="shared" si="0"/>
        <v>624</v>
      </c>
      <c r="H20" s="5">
        <f t="shared" si="1"/>
        <v>31090</v>
      </c>
      <c r="I20" s="5">
        <f t="shared" si="2"/>
        <v>11575</v>
      </c>
      <c r="J20" s="5">
        <f t="shared" si="3"/>
        <v>4630</v>
      </c>
      <c r="K20" s="5">
        <f t="shared" si="4"/>
        <v>3470</v>
      </c>
      <c r="L20" s="5"/>
      <c r="M20" s="5">
        <f t="shared" si="5"/>
        <v>8000</v>
      </c>
      <c r="N20" s="5"/>
      <c r="O20" s="5"/>
      <c r="P20" s="5"/>
      <c r="Q20" s="83">
        <v>25000</v>
      </c>
      <c r="R20" s="83"/>
      <c r="S20" s="33">
        <v>28940</v>
      </c>
      <c r="T20" s="5"/>
      <c r="U20" s="14">
        <f t="shared" si="6"/>
        <v>6473.8</v>
      </c>
      <c r="V20" s="85">
        <f t="shared" si="7"/>
        <v>1942.1399999999999</v>
      </c>
      <c r="W20" s="6"/>
      <c r="X20" s="6"/>
      <c r="Y20" s="6"/>
    </row>
    <row r="21" spans="2:42" ht="11.25">
      <c r="B21" s="49" t="s">
        <v>24</v>
      </c>
      <c r="C21" s="58">
        <v>32369</v>
      </c>
      <c r="D21" s="5"/>
      <c r="E21" s="5"/>
      <c r="F21" s="5"/>
      <c r="G21" s="5">
        <f t="shared" si="0"/>
        <v>624</v>
      </c>
      <c r="H21" s="5">
        <f t="shared" si="1"/>
        <v>31090</v>
      </c>
      <c r="I21" s="5">
        <f t="shared" si="2"/>
        <v>11575</v>
      </c>
      <c r="J21" s="5">
        <f t="shared" si="3"/>
        <v>4630</v>
      </c>
      <c r="K21" s="5">
        <f t="shared" si="4"/>
        <v>3470</v>
      </c>
      <c r="L21" s="5"/>
      <c r="M21" s="5">
        <f t="shared" si="5"/>
        <v>8000</v>
      </c>
      <c r="N21" s="5"/>
      <c r="O21" s="5"/>
      <c r="P21" s="5"/>
      <c r="Q21" s="83">
        <v>25000</v>
      </c>
      <c r="R21" s="83"/>
      <c r="S21" s="33">
        <v>28940</v>
      </c>
      <c r="T21" s="5"/>
      <c r="U21" s="14">
        <f t="shared" si="6"/>
        <v>6473.8</v>
      </c>
      <c r="V21" s="85">
        <f t="shared" si="7"/>
        <v>1942.1399999999999</v>
      </c>
      <c r="W21" s="6"/>
      <c r="X21" s="6"/>
      <c r="Y21" s="6"/>
    </row>
    <row r="22" spans="2:42" ht="11.25">
      <c r="B22" s="49" t="s">
        <v>39</v>
      </c>
      <c r="C22" s="58">
        <v>32369</v>
      </c>
      <c r="D22" s="5"/>
      <c r="E22" s="5"/>
      <c r="F22" s="5"/>
      <c r="G22" s="5">
        <f t="shared" si="0"/>
        <v>624</v>
      </c>
      <c r="H22" s="5">
        <f t="shared" si="1"/>
        <v>31090</v>
      </c>
      <c r="I22" s="5">
        <f t="shared" si="2"/>
        <v>11575</v>
      </c>
      <c r="J22" s="5">
        <f t="shared" si="3"/>
        <v>4630</v>
      </c>
      <c r="K22" s="5">
        <f t="shared" si="4"/>
        <v>3470</v>
      </c>
      <c r="L22" s="5"/>
      <c r="M22" s="5">
        <f t="shared" si="5"/>
        <v>8000</v>
      </c>
      <c r="N22" s="5"/>
      <c r="O22" s="5"/>
      <c r="P22" s="5"/>
      <c r="Q22" s="83">
        <v>0</v>
      </c>
      <c r="R22" s="83"/>
      <c r="S22" s="33">
        <v>8000</v>
      </c>
      <c r="T22" s="5"/>
      <c r="U22" s="14">
        <f t="shared" si="6"/>
        <v>6473.8</v>
      </c>
      <c r="V22" s="85">
        <f t="shared" si="7"/>
        <v>1942.1399999999999</v>
      </c>
      <c r="W22" s="6"/>
      <c r="X22" s="6"/>
      <c r="Y22" s="6"/>
    </row>
    <row r="23" spans="2:42" ht="11.25">
      <c r="B23" s="49" t="s">
        <v>42</v>
      </c>
      <c r="C23" s="58">
        <v>32369</v>
      </c>
      <c r="D23" s="5"/>
      <c r="E23" s="5"/>
      <c r="F23" s="5"/>
      <c r="G23" s="5">
        <f t="shared" si="0"/>
        <v>624</v>
      </c>
      <c r="H23" s="5">
        <f t="shared" si="1"/>
        <v>31090</v>
      </c>
      <c r="I23" s="5">
        <f t="shared" si="2"/>
        <v>11575</v>
      </c>
      <c r="J23" s="5">
        <f t="shared" si="3"/>
        <v>4630</v>
      </c>
      <c r="K23" s="5">
        <f t="shared" si="4"/>
        <v>3470</v>
      </c>
      <c r="L23" s="5"/>
      <c r="M23" s="5">
        <f t="shared" si="5"/>
        <v>8000</v>
      </c>
      <c r="N23" s="5"/>
      <c r="O23" s="5"/>
      <c r="P23" s="5"/>
      <c r="Q23" s="83">
        <v>25000</v>
      </c>
      <c r="R23" s="83"/>
      <c r="S23" s="33">
        <v>28940</v>
      </c>
      <c r="T23" s="5"/>
      <c r="U23" s="14">
        <f t="shared" si="6"/>
        <v>6473.8</v>
      </c>
      <c r="V23" s="85">
        <f t="shared" si="7"/>
        <v>1942.1399999999999</v>
      </c>
      <c r="W23" s="6"/>
      <c r="X23" s="6"/>
      <c r="Y23" s="6"/>
    </row>
    <row r="24" spans="2:42" ht="11.25">
      <c r="B24" s="49" t="s">
        <v>44</v>
      </c>
      <c r="C24" s="58">
        <v>32369</v>
      </c>
      <c r="D24" s="5"/>
      <c r="E24" s="5"/>
      <c r="F24" s="5"/>
      <c r="G24" s="5">
        <f t="shared" si="0"/>
        <v>624</v>
      </c>
      <c r="H24" s="5">
        <f t="shared" si="1"/>
        <v>31090</v>
      </c>
      <c r="I24" s="5">
        <f t="shared" si="2"/>
        <v>11575</v>
      </c>
      <c r="J24" s="5">
        <f t="shared" si="3"/>
        <v>4630</v>
      </c>
      <c r="K24" s="5">
        <f t="shared" si="4"/>
        <v>3470</v>
      </c>
      <c r="L24" s="5"/>
      <c r="M24" s="5">
        <f t="shared" si="5"/>
        <v>8000</v>
      </c>
      <c r="N24" s="5"/>
      <c r="O24" s="5"/>
      <c r="P24" s="5"/>
      <c r="Q24" s="83">
        <v>25000</v>
      </c>
      <c r="R24" s="83"/>
      <c r="S24" s="33">
        <v>28940</v>
      </c>
      <c r="T24" s="5"/>
      <c r="U24" s="14">
        <f t="shared" si="6"/>
        <v>6473.8</v>
      </c>
      <c r="V24" s="85">
        <f t="shared" si="7"/>
        <v>1942.1399999999999</v>
      </c>
      <c r="W24" s="6"/>
      <c r="X24" s="6"/>
      <c r="Y24" s="6"/>
    </row>
    <row r="25" spans="2:42" ht="11.25">
      <c r="B25" s="50" t="s">
        <v>2</v>
      </c>
      <c r="C25" s="58"/>
      <c r="D25" s="5"/>
      <c r="E25" s="5"/>
      <c r="F25" s="5"/>
      <c r="G25" s="5"/>
      <c r="H25" s="5"/>
      <c r="I25" s="5"/>
      <c r="J25" s="5"/>
      <c r="K25" s="5"/>
      <c r="L25" s="5"/>
      <c r="M25" s="5"/>
      <c r="N25" s="5"/>
      <c r="O25" s="5"/>
      <c r="P25" s="5"/>
      <c r="Q25" s="33"/>
      <c r="R25" s="33"/>
      <c r="S25" s="33"/>
      <c r="T25" s="5"/>
      <c r="U25" s="14"/>
      <c r="V25" s="85"/>
      <c r="W25" s="6"/>
      <c r="X25" s="6"/>
      <c r="Y25" s="6"/>
    </row>
    <row r="26" spans="2:42" ht="11.25">
      <c r="B26" s="49" t="s">
        <v>15</v>
      </c>
      <c r="C26" s="58">
        <v>32369</v>
      </c>
      <c r="D26" s="5"/>
      <c r="E26" s="5"/>
      <c r="F26" s="5"/>
      <c r="G26" s="5">
        <f t="shared" si="0"/>
        <v>624</v>
      </c>
      <c r="H26" s="5">
        <f t="shared" si="1"/>
        <v>31090</v>
      </c>
      <c r="I26" s="5">
        <f t="shared" si="2"/>
        <v>11575</v>
      </c>
      <c r="J26" s="5">
        <f t="shared" si="3"/>
        <v>4630</v>
      </c>
      <c r="K26" s="5">
        <f t="shared" si="4"/>
        <v>3470</v>
      </c>
      <c r="L26" s="5"/>
      <c r="M26" s="5">
        <f t="shared" si="5"/>
        <v>8000</v>
      </c>
      <c r="N26" s="5"/>
      <c r="O26" s="8"/>
      <c r="P26" s="5">
        <f>4650*$A$1</f>
        <v>4650</v>
      </c>
      <c r="Q26" s="33">
        <v>25000</v>
      </c>
      <c r="R26" s="33"/>
      <c r="S26" s="33">
        <v>28900</v>
      </c>
      <c r="T26" s="5"/>
      <c r="U26" s="14">
        <f t="shared" ref="U26:U30" si="8">C26*0.2</f>
        <v>6473.8</v>
      </c>
      <c r="V26" s="85">
        <f t="shared" ref="V26:V30" si="9">C26*0.06</f>
        <v>1942.1399999999999</v>
      </c>
      <c r="W26" s="6"/>
      <c r="X26" s="6"/>
      <c r="Y26" s="6"/>
    </row>
    <row r="27" spans="2:42" ht="11.25">
      <c r="B27" s="49" t="s">
        <v>47</v>
      </c>
      <c r="C27" s="58">
        <v>32369</v>
      </c>
      <c r="D27" s="5"/>
      <c r="E27" s="5"/>
      <c r="F27" s="5"/>
      <c r="G27" s="5">
        <f t="shared" si="0"/>
        <v>624</v>
      </c>
      <c r="H27" s="5">
        <f t="shared" si="1"/>
        <v>31090</v>
      </c>
      <c r="I27" s="5">
        <f t="shared" si="2"/>
        <v>11575</v>
      </c>
      <c r="J27" s="5">
        <f t="shared" si="3"/>
        <v>4630</v>
      </c>
      <c r="K27" s="5">
        <f t="shared" si="4"/>
        <v>3470</v>
      </c>
      <c r="L27" s="5"/>
      <c r="M27" s="5">
        <f t="shared" si="5"/>
        <v>8000</v>
      </c>
      <c r="N27" s="5">
        <f>4000*$A$1</f>
        <v>4000</v>
      </c>
      <c r="O27" s="5"/>
      <c r="P27" s="5"/>
      <c r="Q27" s="33">
        <v>25000</v>
      </c>
      <c r="R27" s="33"/>
      <c r="S27" s="33">
        <v>28700</v>
      </c>
      <c r="T27" s="5"/>
      <c r="U27" s="14">
        <f t="shared" si="8"/>
        <v>6473.8</v>
      </c>
      <c r="V27" s="85">
        <f t="shared" si="9"/>
        <v>1942.1399999999999</v>
      </c>
      <c r="W27" s="6"/>
      <c r="X27" s="6"/>
      <c r="Y27" s="6"/>
    </row>
    <row r="28" spans="2:42" ht="11.25">
      <c r="B28" s="49" t="s">
        <v>22</v>
      </c>
      <c r="C28" s="58">
        <v>32369</v>
      </c>
      <c r="D28" s="5"/>
      <c r="E28" s="5"/>
      <c r="F28" s="5"/>
      <c r="G28" s="5">
        <f t="shared" si="0"/>
        <v>624</v>
      </c>
      <c r="H28" s="5">
        <f t="shared" si="1"/>
        <v>31090</v>
      </c>
      <c r="I28" s="5">
        <f t="shared" si="2"/>
        <v>11575</v>
      </c>
      <c r="J28" s="5">
        <f t="shared" si="3"/>
        <v>4630</v>
      </c>
      <c r="K28" s="5">
        <f t="shared" si="4"/>
        <v>3470</v>
      </c>
      <c r="L28" s="5"/>
      <c r="M28" s="5">
        <f t="shared" si="5"/>
        <v>8000</v>
      </c>
      <c r="N28" s="5"/>
      <c r="O28" s="5"/>
      <c r="P28" s="5"/>
      <c r="Q28" s="33">
        <v>25000</v>
      </c>
      <c r="R28" s="33"/>
      <c r="S28" s="33">
        <v>28940</v>
      </c>
      <c r="T28" s="5"/>
      <c r="U28" s="14">
        <f t="shared" si="8"/>
        <v>6473.8</v>
      </c>
      <c r="V28" s="85">
        <f t="shared" si="9"/>
        <v>1942.1399999999999</v>
      </c>
      <c r="W28" s="6"/>
      <c r="X28" s="6"/>
      <c r="Y28" s="6"/>
    </row>
    <row r="29" spans="2:42" ht="11.25">
      <c r="B29" s="49" t="s">
        <v>36</v>
      </c>
      <c r="C29" s="58">
        <v>32369</v>
      </c>
      <c r="D29" s="5"/>
      <c r="E29" s="5"/>
      <c r="F29" s="5"/>
      <c r="G29" s="5">
        <f t="shared" si="0"/>
        <v>624</v>
      </c>
      <c r="H29" s="5">
        <f t="shared" si="1"/>
        <v>31090</v>
      </c>
      <c r="I29" s="5">
        <f t="shared" si="2"/>
        <v>11575</v>
      </c>
      <c r="J29" s="5">
        <f t="shared" si="3"/>
        <v>4630</v>
      </c>
      <c r="K29" s="5">
        <f t="shared" si="4"/>
        <v>3470</v>
      </c>
      <c r="L29" s="5"/>
      <c r="M29" s="5">
        <f t="shared" si="5"/>
        <v>8000</v>
      </c>
      <c r="N29" s="5"/>
      <c r="O29" s="5">
        <f>15050*$A$1</f>
        <v>15050</v>
      </c>
      <c r="P29" s="5"/>
      <c r="Q29" s="83">
        <v>35000</v>
      </c>
      <c r="R29" s="83"/>
      <c r="S29" s="33">
        <v>28940</v>
      </c>
      <c r="T29" s="5"/>
      <c r="U29" s="14">
        <f t="shared" si="8"/>
        <v>6473.8</v>
      </c>
      <c r="V29" s="85">
        <f t="shared" si="9"/>
        <v>1942.1399999999999</v>
      </c>
      <c r="W29" s="6"/>
      <c r="X29" s="6"/>
      <c r="Y29" s="6"/>
    </row>
    <row r="30" spans="2:42" ht="11.25">
      <c r="B30" s="49" t="s">
        <v>37</v>
      </c>
      <c r="C30" s="58">
        <v>32369</v>
      </c>
      <c r="D30" s="5"/>
      <c r="E30" s="5"/>
      <c r="F30" s="5"/>
      <c r="G30" s="5">
        <f t="shared" si="0"/>
        <v>624</v>
      </c>
      <c r="H30" s="5">
        <f t="shared" si="1"/>
        <v>31090</v>
      </c>
      <c r="I30" s="5">
        <f t="shared" si="2"/>
        <v>11575</v>
      </c>
      <c r="J30" s="5">
        <f t="shared" si="3"/>
        <v>4630</v>
      </c>
      <c r="K30" s="5">
        <f t="shared" si="4"/>
        <v>3470</v>
      </c>
      <c r="L30" s="5"/>
      <c r="M30" s="5">
        <f t="shared" si="5"/>
        <v>8000</v>
      </c>
      <c r="N30" s="5">
        <f>2663*$A$1</f>
        <v>2663</v>
      </c>
      <c r="O30" s="5"/>
      <c r="P30" s="5"/>
      <c r="Q30" s="33">
        <v>25000</v>
      </c>
      <c r="R30" s="33"/>
      <c r="S30" s="33">
        <v>28940</v>
      </c>
      <c r="T30" s="5"/>
      <c r="U30" s="14">
        <f t="shared" si="8"/>
        <v>6473.8</v>
      </c>
      <c r="V30" s="85">
        <f t="shared" si="9"/>
        <v>1942.1399999999999</v>
      </c>
      <c r="W30" s="6"/>
      <c r="X30" s="6"/>
      <c r="Y30" s="6"/>
    </row>
    <row r="31" spans="2:42" ht="11.25">
      <c r="B31" s="50" t="s">
        <v>4</v>
      </c>
      <c r="C31" s="58"/>
      <c r="D31" s="5"/>
      <c r="E31" s="5"/>
      <c r="F31" s="5"/>
      <c r="G31" s="5"/>
      <c r="H31" s="5"/>
      <c r="I31" s="5"/>
      <c r="J31" s="5"/>
      <c r="K31" s="5"/>
      <c r="L31" s="5"/>
      <c r="M31" s="5"/>
      <c r="N31" s="5"/>
      <c r="O31" s="5"/>
      <c r="P31" s="5"/>
      <c r="Q31" s="33"/>
      <c r="R31" s="33"/>
      <c r="S31" s="33"/>
      <c r="T31" s="5"/>
      <c r="U31" s="14"/>
      <c r="V31" s="85"/>
      <c r="W31" s="6"/>
      <c r="X31" s="6"/>
      <c r="Y31" s="6"/>
    </row>
    <row r="32" spans="2:42" ht="11.25">
      <c r="B32" s="49" t="s">
        <v>25</v>
      </c>
      <c r="C32" s="58">
        <v>32369</v>
      </c>
      <c r="D32" s="5"/>
      <c r="E32" s="5"/>
      <c r="F32" s="5"/>
      <c r="G32" s="5">
        <f t="shared" si="0"/>
        <v>624</v>
      </c>
      <c r="H32" s="5">
        <f t="shared" si="1"/>
        <v>31090</v>
      </c>
      <c r="I32" s="5">
        <f t="shared" si="2"/>
        <v>11575</v>
      </c>
      <c r="J32" s="5">
        <f t="shared" si="3"/>
        <v>4630</v>
      </c>
      <c r="K32" s="5">
        <f t="shared" si="4"/>
        <v>3470</v>
      </c>
      <c r="L32" s="5"/>
      <c r="M32" s="5">
        <f t="shared" si="5"/>
        <v>8000</v>
      </c>
      <c r="N32" s="5"/>
      <c r="O32" s="5">
        <f>9030*$A$1</f>
        <v>9030</v>
      </c>
      <c r="P32" s="5"/>
      <c r="Q32" s="33">
        <v>30000</v>
      </c>
      <c r="R32" s="33"/>
      <c r="S32" s="33">
        <v>28940</v>
      </c>
      <c r="T32" s="5"/>
      <c r="U32" s="14">
        <f t="shared" ref="U32:U34" si="10">C32*0.2</f>
        <v>6473.8</v>
      </c>
      <c r="V32" s="85">
        <f t="shared" ref="V32:V34" si="11">C32*0.06</f>
        <v>1942.1399999999999</v>
      </c>
      <c r="W32" s="6"/>
      <c r="X32" s="6"/>
      <c r="Y32" s="6"/>
    </row>
    <row r="33" spans="2:25" ht="11.25">
      <c r="B33" s="49" t="s">
        <v>26</v>
      </c>
      <c r="C33" s="58">
        <v>32369</v>
      </c>
      <c r="D33" s="5"/>
      <c r="E33" s="5"/>
      <c r="F33" s="5"/>
      <c r="G33" s="5">
        <f t="shared" si="0"/>
        <v>624</v>
      </c>
      <c r="H33" s="5">
        <f t="shared" si="1"/>
        <v>31090</v>
      </c>
      <c r="I33" s="5">
        <f t="shared" si="2"/>
        <v>11575</v>
      </c>
      <c r="J33" s="5">
        <f t="shared" si="3"/>
        <v>4630</v>
      </c>
      <c r="K33" s="5">
        <f t="shared" si="4"/>
        <v>3470</v>
      </c>
      <c r="L33" s="5"/>
      <c r="M33" s="5">
        <f t="shared" si="5"/>
        <v>8000</v>
      </c>
      <c r="N33" s="19">
        <f>2663*$A$1</f>
        <v>2663</v>
      </c>
      <c r="O33" s="32"/>
      <c r="P33" s="19">
        <f>2790*$A$1</f>
        <v>2790</v>
      </c>
      <c r="Q33" s="33">
        <v>25000</v>
      </c>
      <c r="R33" s="33"/>
      <c r="S33" s="33">
        <v>28940</v>
      </c>
      <c r="T33" s="5"/>
      <c r="U33" s="14">
        <f t="shared" si="10"/>
        <v>6473.8</v>
      </c>
      <c r="V33" s="85">
        <f t="shared" si="11"/>
        <v>1942.1399999999999</v>
      </c>
      <c r="W33" s="6"/>
      <c r="X33" s="6"/>
      <c r="Y33" s="6"/>
    </row>
    <row r="34" spans="2:25" ht="11.25">
      <c r="B34" s="49" t="s">
        <v>27</v>
      </c>
      <c r="C34" s="58">
        <v>32369</v>
      </c>
      <c r="D34" s="5"/>
      <c r="E34" s="5"/>
      <c r="F34" s="5"/>
      <c r="G34" s="5">
        <f t="shared" si="0"/>
        <v>624</v>
      </c>
      <c r="H34" s="5">
        <f t="shared" si="1"/>
        <v>31090</v>
      </c>
      <c r="I34" s="5">
        <f t="shared" si="2"/>
        <v>11575</v>
      </c>
      <c r="J34" s="5">
        <f t="shared" si="3"/>
        <v>4630</v>
      </c>
      <c r="K34" s="5">
        <f t="shared" si="4"/>
        <v>3470</v>
      </c>
      <c r="L34" s="5"/>
      <c r="M34" s="5">
        <f t="shared" si="5"/>
        <v>8000</v>
      </c>
      <c r="N34" s="5"/>
      <c r="O34" s="5"/>
      <c r="P34" s="5"/>
      <c r="Q34" s="33">
        <v>25000</v>
      </c>
      <c r="R34" s="33"/>
      <c r="S34" s="33">
        <v>28500</v>
      </c>
      <c r="T34" s="5"/>
      <c r="U34" s="14">
        <f t="shared" si="10"/>
        <v>6473.8</v>
      </c>
      <c r="V34" s="85">
        <f t="shared" si="11"/>
        <v>1942.1399999999999</v>
      </c>
      <c r="W34" s="6"/>
      <c r="X34" s="6"/>
      <c r="Y34" s="6"/>
    </row>
    <row r="35" spans="2:25" ht="11.25">
      <c r="B35" s="51" t="s">
        <v>6</v>
      </c>
      <c r="C35" s="58"/>
      <c r="D35" s="5"/>
      <c r="E35" s="5"/>
      <c r="F35" s="5"/>
      <c r="G35" s="5"/>
      <c r="H35" s="5"/>
      <c r="I35" s="5"/>
      <c r="J35" s="5"/>
      <c r="K35" s="5"/>
      <c r="L35" s="5"/>
      <c r="M35" s="5"/>
      <c r="N35" s="5"/>
      <c r="O35" s="5"/>
      <c r="P35" s="5"/>
      <c r="Q35" s="33"/>
      <c r="R35" s="33"/>
      <c r="S35" s="33"/>
      <c r="T35" s="5"/>
      <c r="U35" s="14"/>
      <c r="V35" s="85"/>
      <c r="W35" s="6"/>
      <c r="X35" s="6"/>
      <c r="Y35" s="6"/>
    </row>
    <row r="36" spans="2:25" ht="11.25">
      <c r="B36" s="49" t="s">
        <v>7</v>
      </c>
      <c r="C36" s="58">
        <v>32369</v>
      </c>
      <c r="D36" s="5"/>
      <c r="E36" s="5"/>
      <c r="F36" s="5"/>
      <c r="G36" s="5">
        <f t="shared" si="0"/>
        <v>624</v>
      </c>
      <c r="H36" s="5">
        <f t="shared" si="1"/>
        <v>31090</v>
      </c>
      <c r="I36" s="5">
        <f t="shared" si="2"/>
        <v>11575</v>
      </c>
      <c r="J36" s="5">
        <f t="shared" si="3"/>
        <v>4630</v>
      </c>
      <c r="K36" s="5">
        <f t="shared" si="4"/>
        <v>3470</v>
      </c>
      <c r="L36" s="5"/>
      <c r="M36" s="5">
        <f t="shared" si="5"/>
        <v>8000</v>
      </c>
      <c r="N36" s="5"/>
      <c r="O36" s="5">
        <f>6017*$A$1</f>
        <v>6017</v>
      </c>
      <c r="P36" s="5"/>
      <c r="Q36" s="33">
        <v>25000</v>
      </c>
      <c r="R36" s="33"/>
      <c r="S36" s="33">
        <v>28940</v>
      </c>
      <c r="T36" s="5"/>
      <c r="U36" s="14">
        <f t="shared" ref="U36:U37" si="12">C36*0.2</f>
        <v>6473.8</v>
      </c>
      <c r="V36" s="85">
        <f t="shared" ref="V36:V37" si="13">C36*0.06</f>
        <v>1942.1399999999999</v>
      </c>
      <c r="W36" s="6"/>
      <c r="X36" s="6"/>
      <c r="Y36" s="6"/>
    </row>
    <row r="37" spans="2:25" ht="11.25">
      <c r="B37" s="49" t="s">
        <v>31</v>
      </c>
      <c r="C37" s="58">
        <v>32369</v>
      </c>
      <c r="D37" s="5"/>
      <c r="E37" s="5"/>
      <c r="F37" s="5"/>
      <c r="G37" s="5">
        <f t="shared" si="0"/>
        <v>624</v>
      </c>
      <c r="H37" s="5">
        <f t="shared" si="1"/>
        <v>31090</v>
      </c>
      <c r="I37" s="5">
        <f t="shared" si="2"/>
        <v>11575</v>
      </c>
      <c r="J37" s="5">
        <f t="shared" si="3"/>
        <v>4630</v>
      </c>
      <c r="K37" s="5">
        <f t="shared" si="4"/>
        <v>3470</v>
      </c>
      <c r="L37" s="5"/>
      <c r="M37" s="5">
        <f t="shared" si="5"/>
        <v>8000</v>
      </c>
      <c r="N37" s="19">
        <f>2663*$A$1</f>
        <v>2663</v>
      </c>
      <c r="O37" s="32"/>
      <c r="P37" s="19">
        <f>1859*$A$1</f>
        <v>1859</v>
      </c>
      <c r="Q37" s="33">
        <v>25000</v>
      </c>
      <c r="R37" s="33"/>
      <c r="S37" s="33">
        <v>28891.99</v>
      </c>
      <c r="T37" s="5"/>
      <c r="U37" s="14">
        <f t="shared" si="12"/>
        <v>6473.8</v>
      </c>
      <c r="V37" s="85">
        <f t="shared" si="13"/>
        <v>1942.1399999999999</v>
      </c>
      <c r="W37" s="6"/>
      <c r="X37" s="6"/>
      <c r="Y37" s="6"/>
    </row>
    <row r="38" spans="2:25" ht="11.25">
      <c r="B38" s="50" t="s">
        <v>1</v>
      </c>
      <c r="C38" s="58"/>
      <c r="D38" s="5"/>
      <c r="E38" s="5"/>
      <c r="F38" s="5"/>
      <c r="G38" s="5"/>
      <c r="H38" s="5"/>
      <c r="I38" s="5"/>
      <c r="J38" s="5"/>
      <c r="K38" s="5"/>
      <c r="L38" s="5"/>
      <c r="M38" s="5"/>
      <c r="N38" s="19"/>
      <c r="O38" s="19"/>
      <c r="P38" s="19"/>
      <c r="Q38" s="33"/>
      <c r="R38" s="33"/>
      <c r="S38" s="33"/>
      <c r="T38" s="5"/>
      <c r="U38" s="14"/>
      <c r="V38" s="85"/>
      <c r="W38" s="6"/>
      <c r="X38" s="6"/>
      <c r="Y38" s="6"/>
    </row>
    <row r="39" spans="2:25" ht="11.25">
      <c r="B39" s="49" t="s">
        <v>34</v>
      </c>
      <c r="C39" s="58">
        <v>32369</v>
      </c>
      <c r="D39" s="5"/>
      <c r="E39" s="5"/>
      <c r="F39" s="5"/>
      <c r="G39" s="5">
        <f t="shared" si="0"/>
        <v>624</v>
      </c>
      <c r="H39" s="5">
        <f t="shared" si="1"/>
        <v>31090</v>
      </c>
      <c r="I39" s="5">
        <f t="shared" si="2"/>
        <v>11575</v>
      </c>
      <c r="J39" s="5">
        <f t="shared" si="3"/>
        <v>4630</v>
      </c>
      <c r="K39" s="5">
        <f t="shared" si="4"/>
        <v>3470</v>
      </c>
      <c r="L39" s="5"/>
      <c r="M39" s="5">
        <f t="shared" si="5"/>
        <v>8000</v>
      </c>
      <c r="N39" s="19"/>
      <c r="O39" s="32"/>
      <c r="P39" s="19">
        <f>1859*$A$1</f>
        <v>1859</v>
      </c>
      <c r="Q39" s="33">
        <v>25000</v>
      </c>
      <c r="R39" s="33"/>
      <c r="S39" s="33">
        <v>8000</v>
      </c>
      <c r="T39" s="5"/>
      <c r="U39" s="14">
        <f t="shared" ref="U39:U40" si="14">C39*0.2</f>
        <v>6473.8</v>
      </c>
      <c r="V39" s="85">
        <f t="shared" ref="V39:V40" si="15">C39*0.06</f>
        <v>1942.1399999999999</v>
      </c>
      <c r="W39" s="6"/>
      <c r="X39" s="6"/>
      <c r="Y39" s="6"/>
    </row>
    <row r="40" spans="2:25" ht="11.25">
      <c r="B40" s="49" t="s">
        <v>33</v>
      </c>
      <c r="C40" s="58">
        <v>32369</v>
      </c>
      <c r="D40" s="5"/>
      <c r="E40" s="5"/>
      <c r="F40" s="5"/>
      <c r="G40" s="5">
        <f t="shared" si="0"/>
        <v>624</v>
      </c>
      <c r="H40" s="5">
        <f t="shared" si="1"/>
        <v>31090</v>
      </c>
      <c r="I40" s="5">
        <f t="shared" si="2"/>
        <v>11575</v>
      </c>
      <c r="J40" s="5">
        <f t="shared" si="3"/>
        <v>4630</v>
      </c>
      <c r="K40" s="5">
        <f t="shared" si="4"/>
        <v>3470</v>
      </c>
      <c r="L40" s="5"/>
      <c r="M40" s="5">
        <f t="shared" si="5"/>
        <v>8000</v>
      </c>
      <c r="N40" s="19"/>
      <c r="O40" s="19">
        <f>6017*$A$1</f>
        <v>6017</v>
      </c>
      <c r="P40" s="19"/>
      <c r="Q40" s="33">
        <v>25000</v>
      </c>
      <c r="R40" s="33"/>
      <c r="S40" s="33">
        <v>28940</v>
      </c>
      <c r="T40" s="5"/>
      <c r="U40" s="14">
        <f t="shared" si="14"/>
        <v>6473.8</v>
      </c>
      <c r="V40" s="85">
        <f t="shared" si="15"/>
        <v>1942.1399999999999</v>
      </c>
      <c r="W40" s="6"/>
      <c r="X40" s="6"/>
      <c r="Y40" s="6"/>
    </row>
    <row r="41" spans="2:25" ht="11.25">
      <c r="B41" s="52" t="s">
        <v>13</v>
      </c>
      <c r="C41" s="58"/>
      <c r="D41" s="5"/>
      <c r="E41" s="5"/>
      <c r="F41" s="5"/>
      <c r="G41" s="5"/>
      <c r="H41" s="5"/>
      <c r="I41" s="5"/>
      <c r="J41" s="5"/>
      <c r="K41" s="5"/>
      <c r="L41" s="5"/>
      <c r="M41" s="5"/>
      <c r="N41" s="19"/>
      <c r="O41" s="19"/>
      <c r="P41" s="19"/>
      <c r="Q41" s="33"/>
      <c r="R41" s="33"/>
      <c r="S41" s="33"/>
      <c r="T41" s="5"/>
      <c r="U41" s="14"/>
      <c r="V41" s="85"/>
      <c r="W41" s="6"/>
      <c r="X41" s="6"/>
      <c r="Y41" s="6"/>
    </row>
    <row r="42" spans="2:25" ht="11.25">
      <c r="B42" s="49" t="s">
        <v>28</v>
      </c>
      <c r="C42" s="58">
        <v>32369</v>
      </c>
      <c r="D42" s="5"/>
      <c r="E42" s="5"/>
      <c r="F42" s="5"/>
      <c r="G42" s="5">
        <f t="shared" si="0"/>
        <v>624</v>
      </c>
      <c r="H42" s="5">
        <f t="shared" si="1"/>
        <v>31090</v>
      </c>
      <c r="I42" s="5">
        <f t="shared" si="2"/>
        <v>11575</v>
      </c>
      <c r="J42" s="5">
        <f t="shared" si="3"/>
        <v>4630</v>
      </c>
      <c r="K42" s="5">
        <f t="shared" si="4"/>
        <v>3470</v>
      </c>
      <c r="L42" s="5"/>
      <c r="M42" s="5">
        <f t="shared" si="5"/>
        <v>8000</v>
      </c>
      <c r="N42" s="19"/>
      <c r="O42" s="19">
        <f>6017*$A$1</f>
        <v>6017</v>
      </c>
      <c r="P42" s="19"/>
      <c r="Q42" s="33">
        <v>25000</v>
      </c>
      <c r="R42" s="33"/>
      <c r="S42" s="33">
        <v>28940</v>
      </c>
      <c r="T42" s="5"/>
      <c r="U42" s="14">
        <f t="shared" ref="U42:U43" si="16">C42*0.2</f>
        <v>6473.8</v>
      </c>
      <c r="V42" s="85">
        <f t="shared" ref="V42:V43" si="17">C42*0.06</f>
        <v>1942.1399999999999</v>
      </c>
      <c r="W42" s="6"/>
      <c r="X42" s="6"/>
      <c r="Y42" s="6"/>
    </row>
    <row r="43" spans="2:25" ht="11.25">
      <c r="B43" s="49" t="s">
        <v>29</v>
      </c>
      <c r="C43" s="58">
        <v>32369</v>
      </c>
      <c r="D43" s="5"/>
      <c r="E43" s="5"/>
      <c r="F43" s="5"/>
      <c r="G43" s="5">
        <f t="shared" si="0"/>
        <v>624</v>
      </c>
      <c r="H43" s="5">
        <f t="shared" si="1"/>
        <v>31090</v>
      </c>
      <c r="I43" s="5">
        <f t="shared" si="2"/>
        <v>11575</v>
      </c>
      <c r="J43" s="5">
        <f t="shared" si="3"/>
        <v>4630</v>
      </c>
      <c r="K43" s="5">
        <f t="shared" si="4"/>
        <v>3470</v>
      </c>
      <c r="L43" s="5"/>
      <c r="M43" s="5">
        <f t="shared" si="5"/>
        <v>8000</v>
      </c>
      <c r="N43" s="19">
        <f>2663*$A$1</f>
        <v>2663</v>
      </c>
      <c r="O43" s="32"/>
      <c r="P43" s="19">
        <f>1859*$A$1</f>
        <v>1859</v>
      </c>
      <c r="Q43" s="33">
        <v>25000</v>
      </c>
      <c r="R43" s="33"/>
      <c r="S43" s="33">
        <v>28940</v>
      </c>
      <c r="T43" s="5"/>
      <c r="U43" s="14">
        <f t="shared" si="16"/>
        <v>6473.8</v>
      </c>
      <c r="V43" s="85">
        <f t="shared" si="17"/>
        <v>1942.1399999999999</v>
      </c>
      <c r="W43" s="6"/>
      <c r="X43" s="6"/>
      <c r="Y43" s="6"/>
    </row>
    <row r="44" spans="2:25" ht="11.25">
      <c r="B44" s="53" t="s">
        <v>5</v>
      </c>
      <c r="C44" s="58"/>
      <c r="D44" s="5"/>
      <c r="E44" s="5"/>
      <c r="F44" s="5"/>
      <c r="G44" s="5"/>
      <c r="H44" s="5"/>
      <c r="I44" s="5"/>
      <c r="J44" s="5"/>
      <c r="K44" s="5"/>
      <c r="L44" s="5"/>
      <c r="M44" s="5"/>
      <c r="N44" s="5"/>
      <c r="O44" s="5"/>
      <c r="P44" s="5"/>
      <c r="Q44" s="33"/>
      <c r="R44" s="33"/>
      <c r="S44" s="33"/>
      <c r="T44" s="5"/>
      <c r="U44" s="14"/>
      <c r="V44" s="85"/>
      <c r="W44" s="6"/>
      <c r="X44" s="6"/>
      <c r="Y44" s="6"/>
    </row>
    <row r="45" spans="2:25" ht="11.25">
      <c r="B45" s="49" t="s">
        <v>35</v>
      </c>
      <c r="C45" s="58">
        <v>32369</v>
      </c>
      <c r="D45" s="5"/>
      <c r="E45" s="5"/>
      <c r="F45" s="5"/>
      <c r="G45" s="5">
        <f t="shared" si="0"/>
        <v>624</v>
      </c>
      <c r="H45" s="5">
        <f t="shared" si="1"/>
        <v>31090</v>
      </c>
      <c r="I45" s="5">
        <f t="shared" si="2"/>
        <v>11575</v>
      </c>
      <c r="J45" s="5">
        <f t="shared" si="3"/>
        <v>4630</v>
      </c>
      <c r="K45" s="5">
        <f t="shared" si="4"/>
        <v>3470</v>
      </c>
      <c r="L45" s="5"/>
      <c r="M45" s="5">
        <f t="shared" si="5"/>
        <v>8000</v>
      </c>
      <c r="N45" s="5"/>
      <c r="O45" s="5"/>
      <c r="P45" s="5"/>
      <c r="Q45" s="33">
        <v>25000</v>
      </c>
      <c r="R45" s="33"/>
      <c r="S45" s="33">
        <v>28850</v>
      </c>
      <c r="T45" s="5"/>
      <c r="U45" s="14">
        <f>C45*0.2</f>
        <v>6473.8</v>
      </c>
      <c r="V45" s="85">
        <f>C45*0.06</f>
        <v>1942.1399999999999</v>
      </c>
      <c r="W45" s="6"/>
      <c r="X45" s="6"/>
      <c r="Y45" s="6"/>
    </row>
    <row r="46" spans="2:25" ht="11.25">
      <c r="B46" s="51" t="s">
        <v>8</v>
      </c>
      <c r="C46" s="58"/>
      <c r="D46" s="5"/>
      <c r="E46" s="5"/>
      <c r="F46" s="5"/>
      <c r="G46" s="5"/>
      <c r="H46" s="5"/>
      <c r="I46" s="5"/>
      <c r="J46" s="5"/>
      <c r="K46" s="5"/>
      <c r="L46" s="5"/>
      <c r="M46" s="5"/>
      <c r="N46" s="5"/>
      <c r="O46" s="5"/>
      <c r="P46" s="5"/>
      <c r="Q46" s="33"/>
      <c r="R46" s="33"/>
      <c r="S46" s="33"/>
      <c r="T46" s="5"/>
      <c r="U46" s="14"/>
      <c r="V46" s="85"/>
      <c r="W46" s="6"/>
      <c r="X46" s="6"/>
      <c r="Y46" s="6"/>
    </row>
    <row r="47" spans="2:25" ht="11.25">
      <c r="B47" s="49" t="s">
        <v>32</v>
      </c>
      <c r="C47" s="58">
        <v>32369</v>
      </c>
      <c r="D47" s="5"/>
      <c r="E47" s="5"/>
      <c r="F47" s="5"/>
      <c r="G47" s="5">
        <f t="shared" si="0"/>
        <v>624</v>
      </c>
      <c r="H47" s="5">
        <f t="shared" si="1"/>
        <v>31090</v>
      </c>
      <c r="I47" s="5">
        <f t="shared" si="2"/>
        <v>11575</v>
      </c>
      <c r="J47" s="5">
        <f t="shared" si="3"/>
        <v>4630</v>
      </c>
      <c r="K47" s="5">
        <f t="shared" si="4"/>
        <v>3470</v>
      </c>
      <c r="L47" s="5"/>
      <c r="M47" s="5">
        <f t="shared" si="5"/>
        <v>8000</v>
      </c>
      <c r="N47" s="5"/>
      <c r="O47" s="5"/>
      <c r="P47" s="5"/>
      <c r="Q47" s="33">
        <v>0</v>
      </c>
      <c r="R47" s="33"/>
      <c r="S47" s="33">
        <v>8000</v>
      </c>
      <c r="T47" s="5"/>
      <c r="U47" s="14">
        <f>C47*0.2</f>
        <v>6473.8</v>
      </c>
      <c r="V47" s="85">
        <f>C47*0.06</f>
        <v>1942.1399999999999</v>
      </c>
      <c r="W47" s="6"/>
      <c r="X47" s="6"/>
      <c r="Y47" s="6"/>
    </row>
    <row r="48" spans="2:25" ht="11.25">
      <c r="B48" s="50" t="s">
        <v>12</v>
      </c>
      <c r="C48" s="58"/>
      <c r="D48" s="5"/>
      <c r="E48" s="5"/>
      <c r="F48" s="5"/>
      <c r="G48" s="5"/>
      <c r="H48" s="5"/>
      <c r="I48" s="5"/>
      <c r="J48" s="5"/>
      <c r="K48" s="5"/>
      <c r="L48" s="5"/>
      <c r="M48" s="5"/>
      <c r="N48" s="5"/>
      <c r="O48" s="5"/>
      <c r="P48" s="5"/>
      <c r="Q48" s="33"/>
      <c r="R48" s="33"/>
      <c r="S48" s="33"/>
      <c r="T48" s="5"/>
      <c r="U48" s="14"/>
      <c r="V48" s="85"/>
      <c r="W48" s="6"/>
      <c r="X48" s="6"/>
      <c r="Y48" s="6"/>
    </row>
    <row r="49" spans="1:42" ht="11.25">
      <c r="B49" s="49" t="s">
        <v>30</v>
      </c>
      <c r="C49" s="58">
        <v>32369</v>
      </c>
      <c r="D49" s="5"/>
      <c r="E49" s="5"/>
      <c r="F49" s="5"/>
      <c r="G49" s="5">
        <f t="shared" si="0"/>
        <v>624</v>
      </c>
      <c r="H49" s="5">
        <f t="shared" si="1"/>
        <v>31090</v>
      </c>
      <c r="I49" s="5">
        <f t="shared" si="2"/>
        <v>11575</v>
      </c>
      <c r="J49" s="5">
        <f t="shared" si="3"/>
        <v>4630</v>
      </c>
      <c r="K49" s="5">
        <f t="shared" si="4"/>
        <v>3470</v>
      </c>
      <c r="L49" s="5"/>
      <c r="M49" s="5">
        <f t="shared" si="5"/>
        <v>8000</v>
      </c>
      <c r="N49" s="8"/>
      <c r="O49" s="8"/>
      <c r="P49" s="8"/>
      <c r="Q49" s="33">
        <v>25000</v>
      </c>
      <c r="R49" s="33"/>
      <c r="S49" s="33">
        <v>28900</v>
      </c>
      <c r="T49" s="5"/>
      <c r="U49" s="14">
        <f>C49*0.2</f>
        <v>6473.8</v>
      </c>
      <c r="V49" s="85">
        <f>C49*0.06</f>
        <v>1942.1399999999999</v>
      </c>
    </row>
    <row r="50" spans="1:42" ht="11.25">
      <c r="B50" s="54"/>
      <c r="C50" s="15"/>
      <c r="D50" s="16"/>
      <c r="E50" s="16"/>
      <c r="F50" s="16"/>
      <c r="G50" s="16"/>
      <c r="H50" s="16"/>
      <c r="I50" s="16"/>
      <c r="J50" s="16"/>
      <c r="K50" s="16"/>
      <c r="L50" s="16"/>
      <c r="M50" s="16"/>
      <c r="N50" s="17"/>
      <c r="O50" s="17"/>
      <c r="P50" s="17"/>
      <c r="Q50" s="34"/>
      <c r="R50" s="34"/>
      <c r="S50" s="34"/>
      <c r="T50" s="16"/>
      <c r="U50" s="18"/>
      <c r="V50" s="86"/>
    </row>
    <row r="51" spans="1:42" s="26" customFormat="1">
      <c r="A51" s="21"/>
      <c r="B51" s="27" t="s">
        <v>79</v>
      </c>
      <c r="C51" s="28">
        <f t="shared" ref="C51:K51" si="18">SUM(C9:C49)</f>
        <v>1068177</v>
      </c>
      <c r="D51" s="28">
        <f t="shared" si="18"/>
        <v>0</v>
      </c>
      <c r="E51" s="28">
        <f t="shared" si="18"/>
        <v>0</v>
      </c>
      <c r="F51" s="28">
        <f t="shared" si="18"/>
        <v>0</v>
      </c>
      <c r="G51" s="28">
        <f t="shared" si="18"/>
        <v>20592</v>
      </c>
      <c r="H51" s="28">
        <f t="shared" si="18"/>
        <v>1025970</v>
      </c>
      <c r="I51" s="28">
        <f t="shared" si="18"/>
        <v>381975</v>
      </c>
      <c r="J51" s="28">
        <f t="shared" si="18"/>
        <v>152790</v>
      </c>
      <c r="K51" s="28">
        <f t="shared" si="18"/>
        <v>111040</v>
      </c>
      <c r="L51" s="28"/>
      <c r="M51" s="28">
        <f t="shared" ref="M51:V51" si="19">SUM(M9:M49)</f>
        <v>264000</v>
      </c>
      <c r="N51" s="28">
        <f t="shared" si="19"/>
        <v>33978</v>
      </c>
      <c r="O51" s="28">
        <f t="shared" si="19"/>
        <v>90291</v>
      </c>
      <c r="P51" s="28">
        <f t="shared" si="19"/>
        <v>27895</v>
      </c>
      <c r="Q51" s="28">
        <f t="shared" si="19"/>
        <v>804785.5</v>
      </c>
      <c r="R51" s="28"/>
      <c r="S51" s="28">
        <f t="shared" si="19"/>
        <v>901614.06</v>
      </c>
      <c r="T51" s="28"/>
      <c r="U51" s="28">
        <f t="shared" si="19"/>
        <v>213635.39999999991</v>
      </c>
      <c r="V51" s="87">
        <f t="shared" si="19"/>
        <v>64090.619999999988</v>
      </c>
      <c r="W51" s="25"/>
      <c r="X51" s="25"/>
      <c r="Y51" s="25"/>
      <c r="Z51" s="25"/>
      <c r="AA51" s="25"/>
      <c r="AB51" s="25"/>
      <c r="AC51" s="25"/>
      <c r="AD51" s="25"/>
      <c r="AE51" s="25"/>
      <c r="AF51" s="25"/>
      <c r="AG51" s="25"/>
      <c r="AH51" s="25"/>
      <c r="AI51" s="25"/>
      <c r="AJ51" s="25"/>
      <c r="AK51" s="25"/>
      <c r="AL51" s="25"/>
      <c r="AM51" s="25"/>
      <c r="AN51" s="25"/>
      <c r="AO51" s="25"/>
      <c r="AP51" s="25"/>
    </row>
    <row r="52" spans="1:42" s="29" customFormat="1" ht="13.5" thickBot="1">
      <c r="B52" s="55"/>
      <c r="C52" s="59"/>
      <c r="D52" s="30"/>
      <c r="E52" s="30"/>
      <c r="F52" s="30"/>
      <c r="G52" s="30"/>
      <c r="H52" s="30"/>
      <c r="I52" s="30"/>
      <c r="J52" s="30"/>
      <c r="K52" s="30"/>
      <c r="L52" s="30"/>
      <c r="M52" s="30"/>
      <c r="N52" s="30"/>
      <c r="O52" s="30"/>
      <c r="P52" s="30"/>
      <c r="Q52" s="30"/>
      <c r="R52" s="30"/>
      <c r="S52" s="30"/>
      <c r="T52" s="30"/>
      <c r="U52" s="30"/>
      <c r="V52" s="46"/>
    </row>
    <row r="53" spans="1:42" ht="13.5" thickTop="1">
      <c r="B53" s="10" t="s">
        <v>59</v>
      </c>
      <c r="C53" s="2" t="s">
        <v>60</v>
      </c>
    </row>
    <row r="54" spans="1:42">
      <c r="B54" s="10" t="s">
        <v>66</v>
      </c>
      <c r="C54" s="2" t="s">
        <v>69</v>
      </c>
    </row>
    <row r="55" spans="1:42">
      <c r="B55" s="10" t="s">
        <v>70</v>
      </c>
      <c r="C55" s="2" t="s">
        <v>71</v>
      </c>
    </row>
    <row r="56" spans="1:42">
      <c r="B56" s="10" t="s">
        <v>74</v>
      </c>
      <c r="C56" s="2" t="s">
        <v>75</v>
      </c>
    </row>
    <row r="57" spans="1:42">
      <c r="B57" s="10" t="s">
        <v>83</v>
      </c>
      <c r="C57" s="2" t="s">
        <v>88</v>
      </c>
    </row>
    <row r="58" spans="1:42">
      <c r="B58" s="10" t="s">
        <v>86</v>
      </c>
      <c r="C58" s="2" t="s">
        <v>89</v>
      </c>
    </row>
    <row r="59" spans="1:42">
      <c r="B59" s="10" t="s">
        <v>87</v>
      </c>
      <c r="C59" s="99" t="s">
        <v>96</v>
      </c>
    </row>
    <row r="60" spans="1:42">
      <c r="B60" s="10" t="s">
        <v>90</v>
      </c>
      <c r="C60" s="92" t="s">
        <v>91</v>
      </c>
    </row>
    <row r="63" spans="1:42">
      <c r="B63" s="11"/>
    </row>
    <row r="64" spans="1:42">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sheetData>
  <mergeCells count="7">
    <mergeCell ref="B1:W1"/>
    <mergeCell ref="B2:W2"/>
    <mergeCell ref="B3:W3"/>
    <mergeCell ref="B4:W4"/>
    <mergeCell ref="C6:P6"/>
    <mergeCell ref="Q6:S6"/>
    <mergeCell ref="U6:V6"/>
  </mergeCells>
  <printOptions horizontalCentered="1"/>
  <pageMargins left="0.51181102362204722" right="0.31496062992125984" top="0.74803149606299213" bottom="0.74803149606299213" header="0.31496062992125984" footer="0.31496062992125984"/>
  <pageSetup paperSize="5" scale="68" orientation="landscape" r:id="rId1"/>
  <drawing r:id="rId2"/>
</worksheet>
</file>

<file path=xl/worksheets/sheet5.xml><?xml version="1.0" encoding="utf-8"?>
<worksheet xmlns="http://schemas.openxmlformats.org/spreadsheetml/2006/main" xmlns:r="http://schemas.openxmlformats.org/officeDocument/2006/relationships">
  <sheetPr>
    <tabColor rgb="FF00B050"/>
  </sheetPr>
  <dimension ref="A1:AN89"/>
  <sheetViews>
    <sheetView workbookViewId="0">
      <pane xSplit="2" ySplit="8" topLeftCell="C30" activePane="bottomRight" state="frozen"/>
      <selection pane="topRight" activeCell="C1" sqref="C1"/>
      <selection pane="bottomLeft" activeCell="A9" sqref="A9"/>
      <selection pane="bottomRight" activeCell="C59" sqref="C59"/>
    </sheetView>
  </sheetViews>
  <sheetFormatPr baseColWidth="10" defaultColWidth="11.42578125" defaultRowHeight="12.75"/>
  <cols>
    <col min="1" max="1" width="1.5703125" style="2" customWidth="1"/>
    <col min="2" max="2" width="32.140625" style="12" customWidth="1"/>
    <col min="3" max="3" width="12.85546875" style="2" customWidth="1"/>
    <col min="4" max="4" width="11.140625" style="2" customWidth="1"/>
    <col min="5" max="5" width="10.5703125" style="2" customWidth="1"/>
    <col min="6" max="6" width="12" style="2" customWidth="1"/>
    <col min="7" max="7" width="9.85546875" style="2" bestFit="1" customWidth="1"/>
    <col min="8" max="8" width="12.85546875" style="2" customWidth="1"/>
    <col min="9" max="9" width="12" style="2" customWidth="1"/>
    <col min="10" max="11" width="11.28515625" style="2" bestFit="1" customWidth="1"/>
    <col min="12" max="12" width="2.7109375" style="2" bestFit="1" customWidth="1"/>
    <col min="13" max="13" width="11.28515625" style="2" bestFit="1" customWidth="1"/>
    <col min="14" max="14" width="9.85546875" style="2" bestFit="1" customWidth="1"/>
    <col min="15" max="15" width="11.28515625" style="2" bestFit="1" customWidth="1"/>
    <col min="16" max="16" width="10.85546875" style="2" customWidth="1"/>
    <col min="17" max="18" width="12.28515625" style="2" bestFit="1" customWidth="1"/>
    <col min="19" max="19" width="2.5703125" style="2" customWidth="1"/>
    <col min="20" max="20" width="9.85546875" style="2" bestFit="1" customWidth="1"/>
    <col min="21" max="21" width="3.7109375" style="2" customWidth="1"/>
    <col min="22" max="16384" width="11.42578125" style="2"/>
  </cols>
  <sheetData>
    <row r="1" spans="1:40" ht="18.75">
      <c r="A1" s="2">
        <v>1</v>
      </c>
      <c r="B1" s="93" t="s">
        <v>48</v>
      </c>
      <c r="C1" s="93"/>
      <c r="D1" s="93"/>
      <c r="E1" s="93"/>
      <c r="F1" s="93"/>
      <c r="G1" s="93"/>
      <c r="H1" s="93"/>
      <c r="I1" s="93"/>
      <c r="J1" s="93"/>
      <c r="K1" s="93"/>
      <c r="L1" s="93"/>
      <c r="M1" s="93"/>
      <c r="N1" s="93"/>
      <c r="O1" s="93"/>
      <c r="P1" s="93"/>
      <c r="Q1" s="93"/>
      <c r="R1" s="93"/>
      <c r="S1" s="93"/>
      <c r="T1" s="93"/>
      <c r="U1" s="93"/>
    </row>
    <row r="2" spans="1:40" ht="15.75">
      <c r="B2" s="94" t="s">
        <v>54</v>
      </c>
      <c r="C2" s="94"/>
      <c r="D2" s="94"/>
      <c r="E2" s="94"/>
      <c r="F2" s="94"/>
      <c r="G2" s="94"/>
      <c r="H2" s="94"/>
      <c r="I2" s="94"/>
      <c r="J2" s="94"/>
      <c r="K2" s="94"/>
      <c r="L2" s="94"/>
      <c r="M2" s="94"/>
      <c r="N2" s="94"/>
      <c r="O2" s="94"/>
      <c r="P2" s="94"/>
      <c r="Q2" s="94"/>
      <c r="R2" s="94"/>
      <c r="S2" s="94"/>
      <c r="T2" s="94"/>
      <c r="U2" s="94"/>
    </row>
    <row r="3" spans="1:40" ht="15.75">
      <c r="B3" s="94" t="s">
        <v>65</v>
      </c>
      <c r="C3" s="94"/>
      <c r="D3" s="94"/>
      <c r="E3" s="94"/>
      <c r="F3" s="94"/>
      <c r="G3" s="94"/>
      <c r="H3" s="94"/>
      <c r="I3" s="94"/>
      <c r="J3" s="94"/>
      <c r="K3" s="94"/>
      <c r="L3" s="94"/>
      <c r="M3" s="94"/>
      <c r="N3" s="94"/>
      <c r="O3" s="94"/>
      <c r="P3" s="94"/>
      <c r="Q3" s="94"/>
      <c r="R3" s="94"/>
      <c r="S3" s="94"/>
      <c r="T3" s="94"/>
      <c r="U3" s="94"/>
      <c r="V3" s="1"/>
      <c r="W3" s="1"/>
      <c r="X3" s="1"/>
      <c r="Y3" s="1"/>
      <c r="Z3" s="1"/>
      <c r="AA3" s="1"/>
      <c r="AB3" s="1"/>
      <c r="AC3" s="1"/>
      <c r="AD3" s="1"/>
      <c r="AE3" s="1"/>
      <c r="AF3" s="1"/>
      <c r="AG3" s="1"/>
      <c r="AH3" s="1"/>
      <c r="AI3" s="1"/>
      <c r="AJ3" s="1"/>
      <c r="AK3" s="1"/>
      <c r="AL3" s="1"/>
      <c r="AM3" s="1"/>
      <c r="AN3" s="1"/>
    </row>
    <row r="4" spans="1:40" ht="15.75">
      <c r="B4" s="98" t="s">
        <v>81</v>
      </c>
      <c r="C4" s="98"/>
      <c r="D4" s="98"/>
      <c r="E4" s="98"/>
      <c r="F4" s="98"/>
      <c r="G4" s="98"/>
      <c r="H4" s="98"/>
      <c r="I4" s="98"/>
      <c r="J4" s="98"/>
      <c r="K4" s="98"/>
      <c r="L4" s="98"/>
      <c r="M4" s="98"/>
      <c r="N4" s="98"/>
      <c r="O4" s="98"/>
      <c r="P4" s="98"/>
      <c r="Q4" s="98"/>
      <c r="R4" s="98"/>
      <c r="S4" s="98"/>
      <c r="T4" s="98"/>
      <c r="U4" s="98"/>
      <c r="V4" s="1"/>
      <c r="W4" s="1"/>
      <c r="X4" s="1"/>
      <c r="Y4" s="1"/>
      <c r="Z4" s="1"/>
      <c r="AA4" s="1"/>
      <c r="AB4" s="1"/>
      <c r="AC4" s="1"/>
      <c r="AD4" s="1"/>
      <c r="AE4" s="1"/>
      <c r="AF4" s="1"/>
      <c r="AG4" s="1"/>
      <c r="AH4" s="1"/>
      <c r="AI4" s="1"/>
      <c r="AJ4" s="1"/>
      <c r="AK4" s="1"/>
      <c r="AL4" s="1"/>
      <c r="AM4" s="1"/>
      <c r="AN4" s="1"/>
    </row>
    <row r="5" spans="1:40" ht="16.5" thickBot="1">
      <c r="B5" s="82"/>
      <c r="C5" s="82"/>
      <c r="D5" s="82"/>
      <c r="E5" s="82"/>
      <c r="F5" s="82"/>
      <c r="G5" s="82"/>
      <c r="H5" s="82"/>
      <c r="I5" s="82"/>
      <c r="J5" s="82"/>
      <c r="K5" s="82"/>
      <c r="L5" s="82"/>
      <c r="M5" s="82"/>
      <c r="N5" s="82"/>
      <c r="O5" s="82"/>
      <c r="P5" s="82"/>
      <c r="Q5" s="82"/>
      <c r="R5" s="82"/>
      <c r="S5" s="90"/>
      <c r="T5" s="82"/>
      <c r="U5" s="82"/>
      <c r="V5" s="1"/>
      <c r="W5" s="1"/>
      <c r="X5" s="1"/>
      <c r="Y5" s="1"/>
      <c r="Z5" s="1"/>
      <c r="AA5" s="1"/>
      <c r="AB5" s="1"/>
      <c r="AC5" s="1"/>
      <c r="AD5" s="1"/>
      <c r="AE5" s="1"/>
      <c r="AF5" s="1"/>
      <c r="AG5" s="1"/>
      <c r="AH5" s="1"/>
      <c r="AI5" s="1"/>
      <c r="AJ5" s="1"/>
      <c r="AK5" s="1"/>
      <c r="AL5" s="1"/>
      <c r="AM5" s="1"/>
      <c r="AN5" s="1"/>
    </row>
    <row r="6" spans="1:40" ht="20.25" thickTop="1" thickBot="1">
      <c r="B6" s="31"/>
      <c r="C6" s="95" t="s">
        <v>68</v>
      </c>
      <c r="D6" s="96"/>
      <c r="E6" s="96"/>
      <c r="F6" s="96"/>
      <c r="G6" s="96"/>
      <c r="H6" s="96"/>
      <c r="I6" s="96"/>
      <c r="J6" s="96"/>
      <c r="K6" s="96"/>
      <c r="L6" s="96"/>
      <c r="M6" s="96"/>
      <c r="N6" s="96"/>
      <c r="O6" s="96"/>
      <c r="P6" s="97"/>
      <c r="Q6" s="95" t="s">
        <v>72</v>
      </c>
      <c r="R6" s="97"/>
      <c r="S6" s="95" t="s">
        <v>73</v>
      </c>
      <c r="T6" s="97"/>
      <c r="U6" s="31"/>
      <c r="V6" s="1"/>
      <c r="W6" s="1"/>
      <c r="X6" s="1"/>
      <c r="Y6" s="1"/>
      <c r="Z6" s="1"/>
      <c r="AA6" s="1"/>
      <c r="AB6" s="1"/>
      <c r="AC6" s="1"/>
      <c r="AD6" s="1"/>
      <c r="AE6" s="1"/>
      <c r="AF6" s="1"/>
      <c r="AG6" s="1"/>
      <c r="AH6" s="1"/>
      <c r="AI6" s="1"/>
      <c r="AJ6" s="1"/>
      <c r="AK6" s="1"/>
      <c r="AL6" s="1"/>
      <c r="AM6" s="1"/>
      <c r="AN6" s="1"/>
    </row>
    <row r="7" spans="1:40" s="3" customFormat="1" ht="37.5" customHeight="1" thickTop="1" thickBot="1">
      <c r="A7" s="2"/>
      <c r="B7" s="47"/>
      <c r="C7" s="56" t="s">
        <v>92</v>
      </c>
      <c r="D7" s="20" t="s">
        <v>62</v>
      </c>
      <c r="E7" s="20" t="s">
        <v>63</v>
      </c>
      <c r="F7" s="20" t="s">
        <v>58</v>
      </c>
      <c r="G7" s="20" t="s">
        <v>55</v>
      </c>
      <c r="H7" s="20" t="s">
        <v>45</v>
      </c>
      <c r="I7" s="20" t="s">
        <v>49</v>
      </c>
      <c r="J7" s="20" t="s">
        <v>50</v>
      </c>
      <c r="K7" s="20" t="s">
        <v>51</v>
      </c>
      <c r="L7" s="20"/>
      <c r="M7" s="20" t="s">
        <v>9</v>
      </c>
      <c r="N7" s="20" t="s">
        <v>0</v>
      </c>
      <c r="O7" s="20" t="s">
        <v>56</v>
      </c>
      <c r="P7" s="20" t="s">
        <v>57</v>
      </c>
      <c r="Q7" s="20" t="s">
        <v>84</v>
      </c>
      <c r="R7" s="20" t="s">
        <v>85</v>
      </c>
      <c r="S7" s="20"/>
      <c r="T7" s="88" t="s">
        <v>10</v>
      </c>
      <c r="U7" s="1"/>
      <c r="V7" s="1"/>
      <c r="W7" s="1"/>
      <c r="X7" s="1"/>
      <c r="Y7" s="1"/>
      <c r="Z7" s="1"/>
      <c r="AA7" s="1"/>
      <c r="AB7" s="1"/>
      <c r="AC7" s="1"/>
      <c r="AD7" s="1"/>
      <c r="AE7" s="1"/>
      <c r="AF7" s="1"/>
      <c r="AG7" s="1"/>
      <c r="AH7" s="1"/>
      <c r="AI7" s="1"/>
      <c r="AJ7" s="1"/>
      <c r="AK7" s="1"/>
      <c r="AL7" s="1"/>
      <c r="AM7" s="1"/>
      <c r="AN7" s="1"/>
    </row>
    <row r="8" spans="1:40" ht="12" thickTop="1">
      <c r="B8" s="48" t="s">
        <v>3</v>
      </c>
      <c r="C8" s="57"/>
      <c r="D8" s="4"/>
      <c r="E8" s="4"/>
      <c r="F8" s="4"/>
      <c r="G8" s="4"/>
      <c r="H8" s="4"/>
      <c r="I8" s="4"/>
      <c r="J8" s="4"/>
      <c r="K8" s="4"/>
      <c r="L8" s="4"/>
      <c r="M8" s="4"/>
      <c r="N8" s="4"/>
      <c r="O8" s="4"/>
      <c r="P8" s="4"/>
      <c r="Q8" s="13"/>
      <c r="R8" s="13"/>
      <c r="S8" s="4"/>
      <c r="T8" s="84"/>
      <c r="U8" s="1"/>
      <c r="V8" s="1"/>
      <c r="W8" s="1"/>
      <c r="X8" s="1"/>
      <c r="Y8" s="1"/>
      <c r="Z8" s="1"/>
      <c r="AA8" s="1"/>
      <c r="AB8" s="1"/>
      <c r="AC8" s="1"/>
      <c r="AD8" s="1"/>
      <c r="AE8" s="1"/>
      <c r="AF8" s="1"/>
      <c r="AG8" s="1"/>
      <c r="AH8" s="1"/>
      <c r="AI8" s="1"/>
      <c r="AJ8" s="1"/>
      <c r="AK8" s="1"/>
      <c r="AL8" s="1"/>
      <c r="AM8" s="1"/>
      <c r="AN8" s="1"/>
    </row>
    <row r="9" spans="1:40" ht="11.25">
      <c r="B9" s="49" t="s">
        <v>40</v>
      </c>
      <c r="C9" s="58">
        <v>33340</v>
      </c>
      <c r="D9" s="5"/>
      <c r="E9" s="5"/>
      <c r="F9" s="5"/>
      <c r="G9" s="5">
        <f t="shared" ref="G9:G49" si="0">624*$A$1</f>
        <v>624</v>
      </c>
      <c r="H9" s="5">
        <f t="shared" ref="H9:H49" si="1">31090*$A$1</f>
        <v>31090</v>
      </c>
      <c r="I9" s="5">
        <f t="shared" ref="I9:I49" si="2">11575*$A$1</f>
        <v>11575</v>
      </c>
      <c r="J9" s="5">
        <f t="shared" ref="J9:J49" si="3">4630*$A$1</f>
        <v>4630</v>
      </c>
      <c r="K9" s="5">
        <f t="shared" ref="K9:K49" si="4">3470*$A$1</f>
        <v>3470</v>
      </c>
      <c r="L9" s="5"/>
      <c r="M9" s="5">
        <f t="shared" ref="M9:M49" si="5">8000*$A$1</f>
        <v>8000</v>
      </c>
      <c r="N9" s="5"/>
      <c r="O9" s="5"/>
      <c r="P9" s="5"/>
      <c r="Q9" s="83">
        <v>40000</v>
      </c>
      <c r="R9" s="33">
        <v>28940</v>
      </c>
      <c r="S9" s="5"/>
      <c r="T9" s="85">
        <f>C9*0.06</f>
        <v>2000.3999999999999</v>
      </c>
      <c r="U9" s="6"/>
      <c r="V9" s="6"/>
      <c r="W9" s="6"/>
    </row>
    <row r="10" spans="1:40" ht="11.25">
      <c r="B10" s="49" t="s">
        <v>16</v>
      </c>
      <c r="C10" s="58">
        <v>33340</v>
      </c>
      <c r="D10" s="5"/>
      <c r="E10" s="5"/>
      <c r="F10" s="5"/>
      <c r="G10" s="5">
        <f t="shared" si="0"/>
        <v>624</v>
      </c>
      <c r="H10" s="5">
        <f t="shared" si="1"/>
        <v>31090</v>
      </c>
      <c r="I10" s="5">
        <f t="shared" si="2"/>
        <v>11575</v>
      </c>
      <c r="J10" s="5">
        <f t="shared" si="3"/>
        <v>4630</v>
      </c>
      <c r="K10" s="5">
        <f t="shared" si="4"/>
        <v>3470</v>
      </c>
      <c r="L10" s="5"/>
      <c r="M10" s="5">
        <f t="shared" si="5"/>
        <v>8000</v>
      </c>
      <c r="N10" s="5"/>
      <c r="O10" s="5"/>
      <c r="P10" s="5"/>
      <c r="Q10" s="83">
        <v>25000</v>
      </c>
      <c r="R10" s="33">
        <v>28940</v>
      </c>
      <c r="S10" s="5"/>
      <c r="T10" s="85">
        <f t="shared" ref="T10:T24" si="6">C10*0.06</f>
        <v>2000.3999999999999</v>
      </c>
      <c r="U10" s="6"/>
      <c r="V10" s="7"/>
      <c r="W10" s="7"/>
      <c r="X10" s="1"/>
      <c r="Y10" s="1"/>
      <c r="Z10" s="1"/>
      <c r="AA10" s="1"/>
      <c r="AB10" s="1"/>
      <c r="AC10" s="1"/>
      <c r="AD10" s="1"/>
      <c r="AE10" s="1"/>
      <c r="AF10" s="1"/>
      <c r="AG10" s="1"/>
      <c r="AH10" s="1"/>
      <c r="AI10" s="1"/>
      <c r="AJ10" s="1"/>
      <c r="AK10" s="1"/>
      <c r="AL10" s="1"/>
      <c r="AM10" s="1"/>
      <c r="AN10" s="1"/>
    </row>
    <row r="11" spans="1:40" ht="11.25">
      <c r="B11" s="49" t="s">
        <v>18</v>
      </c>
      <c r="C11" s="58">
        <v>33340</v>
      </c>
      <c r="D11" s="5"/>
      <c r="E11" s="5"/>
      <c r="F11" s="5"/>
      <c r="G11" s="5">
        <f t="shared" si="0"/>
        <v>624</v>
      </c>
      <c r="H11" s="5">
        <f t="shared" si="1"/>
        <v>31090</v>
      </c>
      <c r="I11" s="5">
        <f t="shared" si="2"/>
        <v>11575</v>
      </c>
      <c r="J11" s="5">
        <f t="shared" si="3"/>
        <v>4630</v>
      </c>
      <c r="K11" s="5">
        <f t="shared" si="4"/>
        <v>3470</v>
      </c>
      <c r="L11" s="5"/>
      <c r="M11" s="5">
        <f t="shared" si="5"/>
        <v>8000</v>
      </c>
      <c r="N11" s="5">
        <v>2663</v>
      </c>
      <c r="O11" s="5"/>
      <c r="P11" s="5"/>
      <c r="Q11" s="83">
        <v>25000</v>
      </c>
      <c r="R11" s="33">
        <v>28940</v>
      </c>
      <c r="S11" s="5"/>
      <c r="T11" s="85">
        <f t="shared" si="6"/>
        <v>2000.3999999999999</v>
      </c>
      <c r="U11" s="6"/>
      <c r="V11" s="7"/>
      <c r="W11" s="7"/>
      <c r="X11" s="1"/>
      <c r="Y11" s="1"/>
      <c r="Z11" s="1"/>
      <c r="AA11" s="1"/>
      <c r="AB11" s="1"/>
      <c r="AC11" s="1"/>
      <c r="AD11" s="1"/>
      <c r="AE11" s="1"/>
      <c r="AF11" s="1"/>
      <c r="AG11" s="1"/>
      <c r="AH11" s="1"/>
      <c r="AI11" s="1"/>
      <c r="AJ11" s="1"/>
      <c r="AK11" s="1"/>
      <c r="AL11" s="1"/>
      <c r="AM11" s="1"/>
      <c r="AN11" s="1"/>
    </row>
    <row r="12" spans="1:40" ht="11.25">
      <c r="B12" s="49" t="s">
        <v>20</v>
      </c>
      <c r="C12" s="58">
        <v>33340</v>
      </c>
      <c r="D12" s="5"/>
      <c r="E12" s="5"/>
      <c r="F12" s="5"/>
      <c r="G12" s="5">
        <f t="shared" si="0"/>
        <v>624</v>
      </c>
      <c r="H12" s="5">
        <f t="shared" si="1"/>
        <v>31090</v>
      </c>
      <c r="I12" s="5">
        <f t="shared" si="2"/>
        <v>11575</v>
      </c>
      <c r="J12" s="5">
        <f t="shared" si="3"/>
        <v>4630</v>
      </c>
      <c r="K12" s="5">
        <f t="shared" si="4"/>
        <v>3470</v>
      </c>
      <c r="L12" s="5"/>
      <c r="M12" s="5">
        <f t="shared" si="5"/>
        <v>8000</v>
      </c>
      <c r="N12" s="5"/>
      <c r="O12" s="5"/>
      <c r="P12" s="5"/>
      <c r="Q12" s="83">
        <v>25000</v>
      </c>
      <c r="R12" s="33">
        <v>28940</v>
      </c>
      <c r="S12" s="5"/>
      <c r="T12" s="85">
        <f t="shared" si="6"/>
        <v>2000.3999999999999</v>
      </c>
      <c r="U12" s="6"/>
      <c r="V12" s="6"/>
      <c r="W12" s="6"/>
    </row>
    <row r="13" spans="1:40" ht="11.25">
      <c r="B13" s="49" t="s">
        <v>23</v>
      </c>
      <c r="C13" s="58">
        <v>33340</v>
      </c>
      <c r="D13" s="5"/>
      <c r="E13" s="5"/>
      <c r="F13" s="5"/>
      <c r="G13" s="5">
        <f t="shared" si="0"/>
        <v>624</v>
      </c>
      <c r="H13" s="5">
        <f t="shared" si="1"/>
        <v>31090</v>
      </c>
      <c r="I13" s="5">
        <f t="shared" si="2"/>
        <v>11575</v>
      </c>
      <c r="J13" s="5">
        <f t="shared" si="3"/>
        <v>4630</v>
      </c>
      <c r="K13" s="5">
        <f t="shared" si="4"/>
        <v>3470</v>
      </c>
      <c r="L13" s="5"/>
      <c r="M13" s="5">
        <f t="shared" si="5"/>
        <v>8000</v>
      </c>
      <c r="N13" s="5"/>
      <c r="O13" s="5">
        <f>48160*1</f>
        <v>48160</v>
      </c>
      <c r="P13" s="5"/>
      <c r="Q13" s="83">
        <v>25000</v>
      </c>
      <c r="R13" s="33">
        <v>8000</v>
      </c>
      <c r="S13" s="5"/>
      <c r="T13" s="85">
        <f t="shared" si="6"/>
        <v>2000.3999999999999</v>
      </c>
      <c r="U13" s="6"/>
      <c r="V13" s="6"/>
      <c r="W13" s="6"/>
    </row>
    <row r="14" spans="1:40" ht="11.25">
      <c r="B14" s="49" t="s">
        <v>38</v>
      </c>
      <c r="C14" s="58">
        <v>33340</v>
      </c>
      <c r="D14" s="5"/>
      <c r="E14" s="5"/>
      <c r="F14" s="5"/>
      <c r="G14" s="5">
        <f t="shared" si="0"/>
        <v>624</v>
      </c>
      <c r="H14" s="5">
        <f t="shared" si="1"/>
        <v>31090</v>
      </c>
      <c r="I14" s="5">
        <f t="shared" si="2"/>
        <v>11575</v>
      </c>
      <c r="J14" s="5">
        <f t="shared" si="3"/>
        <v>4630</v>
      </c>
      <c r="K14" s="5">
        <f t="shared" si="4"/>
        <v>3470</v>
      </c>
      <c r="L14" s="5"/>
      <c r="M14" s="5">
        <f t="shared" si="5"/>
        <v>8000</v>
      </c>
      <c r="N14" s="5"/>
      <c r="O14" s="5"/>
      <c r="P14" s="5">
        <v>14878</v>
      </c>
      <c r="Q14" s="83">
        <v>25000</v>
      </c>
      <c r="R14" s="33">
        <v>28940</v>
      </c>
      <c r="S14" s="5"/>
      <c r="T14" s="85">
        <f t="shared" si="6"/>
        <v>2000.3999999999999</v>
      </c>
      <c r="U14" s="6"/>
      <c r="V14" s="6"/>
      <c r="W14" s="6"/>
    </row>
    <row r="15" spans="1:40" ht="11.25">
      <c r="B15" s="49" t="s">
        <v>41</v>
      </c>
      <c r="C15" s="58">
        <v>33340</v>
      </c>
      <c r="D15" s="5"/>
      <c r="E15" s="5"/>
      <c r="F15" s="5"/>
      <c r="G15" s="5">
        <f t="shared" si="0"/>
        <v>624</v>
      </c>
      <c r="H15" s="5">
        <f t="shared" si="1"/>
        <v>31090</v>
      </c>
      <c r="I15" s="5">
        <f t="shared" si="2"/>
        <v>11575</v>
      </c>
      <c r="J15" s="5">
        <f t="shared" si="3"/>
        <v>4630</v>
      </c>
      <c r="K15" s="5">
        <v>0</v>
      </c>
      <c r="L15" s="9" t="s">
        <v>59</v>
      </c>
      <c r="M15" s="5">
        <f t="shared" si="5"/>
        <v>8000</v>
      </c>
      <c r="N15" s="5">
        <f>10000*$A$1</f>
        <v>10000</v>
      </c>
      <c r="O15" s="5"/>
      <c r="P15" s="5"/>
      <c r="Q15" s="83">
        <v>0</v>
      </c>
      <c r="R15" s="33">
        <v>0</v>
      </c>
      <c r="S15" s="89" t="s">
        <v>87</v>
      </c>
      <c r="T15" s="85">
        <f t="shared" si="6"/>
        <v>2000.3999999999999</v>
      </c>
      <c r="U15" s="6"/>
      <c r="V15" s="6"/>
      <c r="W15" s="6"/>
    </row>
    <row r="16" spans="1:40" ht="11.25">
      <c r="B16" s="49" t="s">
        <v>43</v>
      </c>
      <c r="C16" s="58">
        <v>33340</v>
      </c>
      <c r="D16" s="5"/>
      <c r="E16" s="5"/>
      <c r="F16" s="5"/>
      <c r="G16" s="5">
        <f t="shared" si="0"/>
        <v>624</v>
      </c>
      <c r="H16" s="5">
        <f t="shared" si="1"/>
        <v>31090</v>
      </c>
      <c r="I16" s="5">
        <f t="shared" si="2"/>
        <v>11575</v>
      </c>
      <c r="J16" s="5">
        <f t="shared" si="3"/>
        <v>4630</v>
      </c>
      <c r="K16" s="5">
        <f t="shared" si="4"/>
        <v>3470</v>
      </c>
      <c r="L16" s="5"/>
      <c r="M16" s="5">
        <f t="shared" si="5"/>
        <v>8000</v>
      </c>
      <c r="N16" s="5">
        <f>2663*$A$1</f>
        <v>2663</v>
      </c>
      <c r="O16" s="5"/>
      <c r="P16" s="5"/>
      <c r="Q16" s="83">
        <v>25000</v>
      </c>
      <c r="R16" s="33">
        <v>28940</v>
      </c>
      <c r="S16" s="5"/>
      <c r="T16" s="85">
        <f t="shared" si="6"/>
        <v>2000.3999999999999</v>
      </c>
      <c r="U16" s="6"/>
      <c r="V16" s="6"/>
      <c r="W16" s="6"/>
    </row>
    <row r="17" spans="2:40" ht="11.25">
      <c r="B17" s="49" t="s">
        <v>14</v>
      </c>
      <c r="C17" s="58">
        <v>33340</v>
      </c>
      <c r="D17" s="5"/>
      <c r="E17" s="5"/>
      <c r="F17" s="5"/>
      <c r="G17" s="5">
        <f>624*$A$1</f>
        <v>624</v>
      </c>
      <c r="H17" s="5">
        <f>31090*$A$1</f>
        <v>31090</v>
      </c>
      <c r="I17" s="5">
        <f>11575*$A$1</f>
        <v>11575</v>
      </c>
      <c r="J17" s="5">
        <f>4630*$A$1</f>
        <v>4630</v>
      </c>
      <c r="K17" s="5">
        <f>3470*$A$1</f>
        <v>3470</v>
      </c>
      <c r="L17" s="5"/>
      <c r="M17" s="5">
        <f>8000*$A$1</f>
        <v>8000</v>
      </c>
      <c r="N17" s="5"/>
      <c r="O17" s="5"/>
      <c r="P17" s="5"/>
      <c r="Q17" s="83">
        <v>25000</v>
      </c>
      <c r="R17" s="33">
        <v>28015</v>
      </c>
      <c r="S17" s="5"/>
      <c r="T17" s="85">
        <f t="shared" si="6"/>
        <v>2000.3999999999999</v>
      </c>
      <c r="U17" s="6"/>
      <c r="V17" s="7"/>
      <c r="W17" s="7"/>
      <c r="X17" s="1"/>
      <c r="Y17" s="1"/>
      <c r="Z17" s="1"/>
      <c r="AA17" s="1"/>
      <c r="AB17" s="1"/>
      <c r="AC17" s="1"/>
      <c r="AD17" s="1"/>
      <c r="AE17" s="1"/>
      <c r="AF17" s="1"/>
      <c r="AG17" s="1"/>
      <c r="AH17" s="1"/>
      <c r="AI17" s="1"/>
      <c r="AJ17" s="1"/>
      <c r="AK17" s="1"/>
      <c r="AL17" s="1"/>
      <c r="AM17" s="1"/>
      <c r="AN17" s="1"/>
    </row>
    <row r="18" spans="2:40" ht="11.25">
      <c r="B18" s="49" t="s">
        <v>17</v>
      </c>
      <c r="C18" s="58">
        <v>33340</v>
      </c>
      <c r="D18" s="5"/>
      <c r="E18" s="5"/>
      <c r="F18" s="5"/>
      <c r="G18" s="5">
        <f t="shared" si="0"/>
        <v>624</v>
      </c>
      <c r="H18" s="5">
        <f t="shared" si="1"/>
        <v>31090</v>
      </c>
      <c r="I18" s="5">
        <f t="shared" si="2"/>
        <v>11575</v>
      </c>
      <c r="J18" s="5">
        <f t="shared" si="3"/>
        <v>4630</v>
      </c>
      <c r="K18" s="5">
        <f t="shared" si="4"/>
        <v>3470</v>
      </c>
      <c r="L18" s="5"/>
      <c r="M18" s="5">
        <f t="shared" si="5"/>
        <v>8000</v>
      </c>
      <c r="N18" s="5"/>
      <c r="O18" s="8"/>
      <c r="P18" s="5"/>
      <c r="Q18" s="83">
        <v>25000</v>
      </c>
      <c r="R18" s="33">
        <v>28940</v>
      </c>
      <c r="S18" s="5"/>
      <c r="T18" s="85">
        <f t="shared" si="6"/>
        <v>2000.3999999999999</v>
      </c>
      <c r="U18" s="6"/>
      <c r="V18" s="7"/>
      <c r="W18" s="7"/>
      <c r="X18" s="1"/>
      <c r="Y18" s="1"/>
      <c r="Z18" s="1"/>
      <c r="AA18" s="1"/>
      <c r="AB18" s="1"/>
      <c r="AC18" s="1"/>
      <c r="AD18" s="1"/>
      <c r="AE18" s="1"/>
      <c r="AF18" s="1"/>
      <c r="AG18" s="1"/>
      <c r="AH18" s="1"/>
      <c r="AI18" s="1"/>
      <c r="AJ18" s="1"/>
      <c r="AK18" s="1"/>
      <c r="AL18" s="1"/>
      <c r="AM18" s="1"/>
      <c r="AN18" s="1"/>
    </row>
    <row r="19" spans="2:40" ht="11.25">
      <c r="B19" s="49" t="s">
        <v>19</v>
      </c>
      <c r="C19" s="58">
        <v>33340</v>
      </c>
      <c r="D19" s="5"/>
      <c r="E19" s="5"/>
      <c r="F19" s="5"/>
      <c r="G19" s="5">
        <f t="shared" si="0"/>
        <v>624</v>
      </c>
      <c r="H19" s="5">
        <f t="shared" si="1"/>
        <v>31090</v>
      </c>
      <c r="I19" s="5">
        <f t="shared" si="2"/>
        <v>11575</v>
      </c>
      <c r="J19" s="5">
        <f t="shared" si="3"/>
        <v>4630</v>
      </c>
      <c r="K19" s="5">
        <f t="shared" si="4"/>
        <v>3470</v>
      </c>
      <c r="L19" s="5"/>
      <c r="M19" s="5">
        <f t="shared" si="5"/>
        <v>8000</v>
      </c>
      <c r="N19" s="5"/>
      <c r="O19" s="5"/>
      <c r="P19" s="5"/>
      <c r="Q19" s="83">
        <v>23347.919999999998</v>
      </c>
      <c r="R19" s="33">
        <v>28940</v>
      </c>
      <c r="S19" s="5"/>
      <c r="T19" s="85">
        <f t="shared" si="6"/>
        <v>2000.3999999999999</v>
      </c>
      <c r="U19" s="6"/>
      <c r="V19" s="6"/>
      <c r="W19" s="6"/>
    </row>
    <row r="20" spans="2:40" ht="11.25">
      <c r="B20" s="49" t="s">
        <v>21</v>
      </c>
      <c r="C20" s="58">
        <v>33340</v>
      </c>
      <c r="D20" s="5"/>
      <c r="E20" s="5"/>
      <c r="F20" s="5"/>
      <c r="G20" s="5">
        <f t="shared" si="0"/>
        <v>624</v>
      </c>
      <c r="H20" s="5">
        <f t="shared" si="1"/>
        <v>31090</v>
      </c>
      <c r="I20" s="5">
        <f t="shared" si="2"/>
        <v>11575</v>
      </c>
      <c r="J20" s="5">
        <f t="shared" si="3"/>
        <v>4630</v>
      </c>
      <c r="K20" s="5">
        <f t="shared" si="4"/>
        <v>3470</v>
      </c>
      <c r="L20" s="5"/>
      <c r="M20" s="5">
        <f t="shared" si="5"/>
        <v>8000</v>
      </c>
      <c r="N20" s="5"/>
      <c r="O20" s="5"/>
      <c r="P20" s="5"/>
      <c r="Q20" s="83">
        <v>25000</v>
      </c>
      <c r="R20" s="33">
        <v>28000</v>
      </c>
      <c r="S20" s="5"/>
      <c r="T20" s="85">
        <f t="shared" si="6"/>
        <v>2000.3999999999999</v>
      </c>
      <c r="U20" s="6"/>
      <c r="V20" s="6"/>
      <c r="W20" s="6"/>
    </row>
    <row r="21" spans="2:40" ht="11.25">
      <c r="B21" s="49" t="s">
        <v>24</v>
      </c>
      <c r="C21" s="58">
        <v>33340</v>
      </c>
      <c r="D21" s="5"/>
      <c r="E21" s="5"/>
      <c r="F21" s="5"/>
      <c r="G21" s="5">
        <f t="shared" si="0"/>
        <v>624</v>
      </c>
      <c r="H21" s="5">
        <f t="shared" si="1"/>
        <v>31090</v>
      </c>
      <c r="I21" s="5">
        <f t="shared" si="2"/>
        <v>11575</v>
      </c>
      <c r="J21" s="5">
        <f t="shared" si="3"/>
        <v>4630</v>
      </c>
      <c r="K21" s="5">
        <f t="shared" si="4"/>
        <v>3470</v>
      </c>
      <c r="L21" s="5"/>
      <c r="M21" s="5">
        <f t="shared" si="5"/>
        <v>8000</v>
      </c>
      <c r="N21" s="5">
        <v>4000</v>
      </c>
      <c r="O21" s="5"/>
      <c r="P21" s="5"/>
      <c r="Q21" s="83">
        <v>25000</v>
      </c>
      <c r="R21" s="33">
        <v>28940</v>
      </c>
      <c r="S21" s="5"/>
      <c r="T21" s="85">
        <f t="shared" si="6"/>
        <v>2000.3999999999999</v>
      </c>
      <c r="U21" s="6"/>
      <c r="V21" s="6"/>
      <c r="W21" s="6"/>
    </row>
    <row r="22" spans="2:40" ht="11.25">
      <c r="B22" s="49" t="s">
        <v>39</v>
      </c>
      <c r="C22" s="58">
        <v>33340</v>
      </c>
      <c r="D22" s="5"/>
      <c r="E22" s="5"/>
      <c r="F22" s="5"/>
      <c r="G22" s="5">
        <f t="shared" si="0"/>
        <v>624</v>
      </c>
      <c r="H22" s="5">
        <f t="shared" si="1"/>
        <v>31090</v>
      </c>
      <c r="I22" s="5">
        <f t="shared" si="2"/>
        <v>11575</v>
      </c>
      <c r="J22" s="5">
        <f t="shared" si="3"/>
        <v>4630</v>
      </c>
      <c r="K22" s="5">
        <f t="shared" si="4"/>
        <v>3470</v>
      </c>
      <c r="L22" s="5"/>
      <c r="M22" s="5">
        <f t="shared" si="5"/>
        <v>8000</v>
      </c>
      <c r="N22" s="5"/>
      <c r="O22" s="5"/>
      <c r="P22" s="5"/>
      <c r="Q22" s="83">
        <v>78000.710000000006</v>
      </c>
      <c r="R22" s="33">
        <v>24891.99</v>
      </c>
      <c r="S22" s="5"/>
      <c r="T22" s="85">
        <f t="shared" si="6"/>
        <v>2000.3999999999999</v>
      </c>
      <c r="U22" s="6"/>
      <c r="V22" s="6"/>
      <c r="W22" s="6"/>
    </row>
    <row r="23" spans="2:40" ht="11.25">
      <c r="B23" s="49" t="s">
        <v>42</v>
      </c>
      <c r="C23" s="58">
        <v>33340</v>
      </c>
      <c r="D23" s="5"/>
      <c r="E23" s="5"/>
      <c r="F23" s="5"/>
      <c r="G23" s="5">
        <f t="shared" si="0"/>
        <v>624</v>
      </c>
      <c r="H23" s="5">
        <f t="shared" si="1"/>
        <v>31090</v>
      </c>
      <c r="I23" s="5">
        <f t="shared" si="2"/>
        <v>11575</v>
      </c>
      <c r="J23" s="5">
        <f t="shared" si="3"/>
        <v>4630</v>
      </c>
      <c r="K23" s="5">
        <f t="shared" si="4"/>
        <v>3470</v>
      </c>
      <c r="L23" s="5"/>
      <c r="M23" s="5">
        <f t="shared" si="5"/>
        <v>8000</v>
      </c>
      <c r="N23" s="5"/>
      <c r="O23" s="5"/>
      <c r="P23" s="5"/>
      <c r="Q23" s="83">
        <v>25000</v>
      </c>
      <c r="R23" s="33">
        <v>28940</v>
      </c>
      <c r="S23" s="5"/>
      <c r="T23" s="85">
        <f t="shared" si="6"/>
        <v>2000.3999999999999</v>
      </c>
      <c r="U23" s="6"/>
      <c r="V23" s="6"/>
      <c r="W23" s="6"/>
    </row>
    <row r="24" spans="2:40" ht="11.25">
      <c r="B24" s="49" t="s">
        <v>44</v>
      </c>
      <c r="C24" s="58">
        <v>33340</v>
      </c>
      <c r="D24" s="5"/>
      <c r="E24" s="5"/>
      <c r="F24" s="5"/>
      <c r="G24" s="5">
        <f t="shared" si="0"/>
        <v>624</v>
      </c>
      <c r="H24" s="5">
        <f t="shared" si="1"/>
        <v>31090</v>
      </c>
      <c r="I24" s="5">
        <f t="shared" si="2"/>
        <v>11575</v>
      </c>
      <c r="J24" s="5">
        <f t="shared" si="3"/>
        <v>4630</v>
      </c>
      <c r="K24" s="5">
        <f t="shared" si="4"/>
        <v>3470</v>
      </c>
      <c r="L24" s="5"/>
      <c r="M24" s="5">
        <f t="shared" si="5"/>
        <v>8000</v>
      </c>
      <c r="N24" s="5"/>
      <c r="O24" s="5"/>
      <c r="P24" s="5"/>
      <c r="Q24" s="83">
        <v>0</v>
      </c>
      <c r="R24" s="33">
        <v>8000</v>
      </c>
      <c r="S24" s="5"/>
      <c r="T24" s="85">
        <f t="shared" si="6"/>
        <v>2000.3999999999999</v>
      </c>
      <c r="U24" s="6"/>
      <c r="V24" s="6"/>
      <c r="W24" s="6"/>
    </row>
    <row r="25" spans="2:40" ht="11.25">
      <c r="B25" s="50" t="s">
        <v>2</v>
      </c>
      <c r="C25" s="58"/>
      <c r="D25" s="5"/>
      <c r="E25" s="5"/>
      <c r="F25" s="5"/>
      <c r="G25" s="5"/>
      <c r="H25" s="5"/>
      <c r="I25" s="5"/>
      <c r="J25" s="5"/>
      <c r="K25" s="5"/>
      <c r="L25" s="5"/>
      <c r="M25" s="5"/>
      <c r="N25" s="5"/>
      <c r="O25" s="5"/>
      <c r="P25" s="5"/>
      <c r="Q25" s="33"/>
      <c r="R25" s="33"/>
      <c r="S25" s="5"/>
      <c r="T25" s="85"/>
      <c r="U25" s="6"/>
      <c r="V25" s="6"/>
      <c r="W25" s="6"/>
    </row>
    <row r="26" spans="2:40" ht="11.25">
      <c r="B26" s="49" t="s">
        <v>15</v>
      </c>
      <c r="C26" s="58">
        <v>33340</v>
      </c>
      <c r="D26" s="5"/>
      <c r="E26" s="5"/>
      <c r="F26" s="5"/>
      <c r="G26" s="5">
        <f t="shared" si="0"/>
        <v>624</v>
      </c>
      <c r="H26" s="5">
        <f t="shared" si="1"/>
        <v>31090</v>
      </c>
      <c r="I26" s="5">
        <f t="shared" si="2"/>
        <v>11575</v>
      </c>
      <c r="J26" s="5">
        <f t="shared" si="3"/>
        <v>4630</v>
      </c>
      <c r="K26" s="5">
        <f t="shared" si="4"/>
        <v>3470</v>
      </c>
      <c r="L26" s="5"/>
      <c r="M26" s="5">
        <f t="shared" si="5"/>
        <v>8000</v>
      </c>
      <c r="N26" s="5"/>
      <c r="O26" s="8"/>
      <c r="P26" s="5">
        <f>4650*$A$1</f>
        <v>4650</v>
      </c>
      <c r="Q26" s="33">
        <v>25000</v>
      </c>
      <c r="R26" s="33">
        <v>28900</v>
      </c>
      <c r="S26" s="5"/>
      <c r="T26" s="85">
        <f t="shared" ref="T26:T30" si="7">C26*0.06</f>
        <v>2000.3999999999999</v>
      </c>
      <c r="U26" s="6"/>
      <c r="V26" s="6"/>
      <c r="W26" s="6"/>
    </row>
    <row r="27" spans="2:40" ht="11.25">
      <c r="B27" s="49" t="s">
        <v>47</v>
      </c>
      <c r="C27" s="58">
        <v>33340</v>
      </c>
      <c r="D27" s="5"/>
      <c r="E27" s="5"/>
      <c r="F27" s="5"/>
      <c r="G27" s="5">
        <f t="shared" si="0"/>
        <v>624</v>
      </c>
      <c r="H27" s="5">
        <f t="shared" si="1"/>
        <v>31090</v>
      </c>
      <c r="I27" s="5">
        <f t="shared" si="2"/>
        <v>11575</v>
      </c>
      <c r="J27" s="5">
        <f t="shared" si="3"/>
        <v>4630</v>
      </c>
      <c r="K27" s="5">
        <f t="shared" si="4"/>
        <v>3470</v>
      </c>
      <c r="L27" s="5"/>
      <c r="M27" s="5">
        <f t="shared" si="5"/>
        <v>8000</v>
      </c>
      <c r="N27" s="5">
        <f>4000*$A$1</f>
        <v>4000</v>
      </c>
      <c r="O27" s="5"/>
      <c r="P27" s="5"/>
      <c r="Q27" s="33">
        <v>25000</v>
      </c>
      <c r="R27" s="33">
        <v>28800</v>
      </c>
      <c r="S27" s="5"/>
      <c r="T27" s="85">
        <f t="shared" si="7"/>
        <v>2000.3999999999999</v>
      </c>
      <c r="U27" s="6"/>
      <c r="V27" s="6"/>
      <c r="W27" s="6"/>
    </row>
    <row r="28" spans="2:40" ht="11.25">
      <c r="B28" s="49" t="s">
        <v>22</v>
      </c>
      <c r="C28" s="58">
        <v>33340</v>
      </c>
      <c r="D28" s="5"/>
      <c r="E28" s="5"/>
      <c r="F28" s="5"/>
      <c r="G28" s="5">
        <f t="shared" si="0"/>
        <v>624</v>
      </c>
      <c r="H28" s="5">
        <f t="shared" si="1"/>
        <v>31090</v>
      </c>
      <c r="I28" s="5">
        <f t="shared" si="2"/>
        <v>11575</v>
      </c>
      <c r="J28" s="5">
        <f t="shared" si="3"/>
        <v>4630</v>
      </c>
      <c r="K28" s="5">
        <f t="shared" si="4"/>
        <v>3470</v>
      </c>
      <c r="L28" s="5"/>
      <c r="M28" s="5">
        <f t="shared" si="5"/>
        <v>8000</v>
      </c>
      <c r="N28" s="5"/>
      <c r="O28" s="5"/>
      <c r="P28" s="5"/>
      <c r="Q28" s="33">
        <v>25000</v>
      </c>
      <c r="R28" s="33">
        <v>28940</v>
      </c>
      <c r="S28" s="5"/>
      <c r="T28" s="85">
        <f t="shared" si="7"/>
        <v>2000.3999999999999</v>
      </c>
      <c r="U28" s="6"/>
      <c r="V28" s="6"/>
      <c r="W28" s="6"/>
    </row>
    <row r="29" spans="2:40" ht="11.25">
      <c r="B29" s="49" t="s">
        <v>36</v>
      </c>
      <c r="C29" s="58">
        <v>33340</v>
      </c>
      <c r="D29" s="5"/>
      <c r="E29" s="5"/>
      <c r="F29" s="5"/>
      <c r="G29" s="5">
        <f t="shared" si="0"/>
        <v>624</v>
      </c>
      <c r="H29" s="5">
        <f t="shared" si="1"/>
        <v>31090</v>
      </c>
      <c r="I29" s="5">
        <f t="shared" si="2"/>
        <v>11575</v>
      </c>
      <c r="J29" s="5">
        <f t="shared" si="3"/>
        <v>4630</v>
      </c>
      <c r="K29" s="5">
        <f t="shared" si="4"/>
        <v>3470</v>
      </c>
      <c r="L29" s="5"/>
      <c r="M29" s="5">
        <f t="shared" si="5"/>
        <v>8000</v>
      </c>
      <c r="N29" s="5"/>
      <c r="O29" s="5">
        <f>15050*$A$1</f>
        <v>15050</v>
      </c>
      <c r="P29" s="5"/>
      <c r="Q29" s="83">
        <v>35000</v>
      </c>
      <c r="R29" s="33">
        <v>28940</v>
      </c>
      <c r="S29" s="5"/>
      <c r="T29" s="85">
        <f t="shared" si="7"/>
        <v>2000.3999999999999</v>
      </c>
      <c r="U29" s="6"/>
      <c r="V29" s="6"/>
      <c r="W29" s="6"/>
    </row>
    <row r="30" spans="2:40" ht="11.25">
      <c r="B30" s="49" t="s">
        <v>37</v>
      </c>
      <c r="C30" s="58">
        <v>33340</v>
      </c>
      <c r="D30" s="5"/>
      <c r="E30" s="5"/>
      <c r="F30" s="5"/>
      <c r="G30" s="5">
        <f t="shared" si="0"/>
        <v>624</v>
      </c>
      <c r="H30" s="5">
        <f t="shared" si="1"/>
        <v>31090</v>
      </c>
      <c r="I30" s="5">
        <f t="shared" si="2"/>
        <v>11575</v>
      </c>
      <c r="J30" s="5">
        <f t="shared" si="3"/>
        <v>4630</v>
      </c>
      <c r="K30" s="5">
        <f t="shared" si="4"/>
        <v>3470</v>
      </c>
      <c r="L30" s="5"/>
      <c r="M30" s="5">
        <f t="shared" si="5"/>
        <v>8000</v>
      </c>
      <c r="N30" s="5">
        <f>2663*$A$1</f>
        <v>2663</v>
      </c>
      <c r="O30" s="5"/>
      <c r="P30" s="5"/>
      <c r="Q30" s="33">
        <v>25000</v>
      </c>
      <c r="R30" s="33">
        <v>28940</v>
      </c>
      <c r="S30" s="5"/>
      <c r="T30" s="85">
        <f t="shared" si="7"/>
        <v>2000.3999999999999</v>
      </c>
      <c r="U30" s="6"/>
      <c r="V30" s="6"/>
      <c r="W30" s="6"/>
    </row>
    <row r="31" spans="2:40" ht="11.25">
      <c r="B31" s="50" t="s">
        <v>4</v>
      </c>
      <c r="C31" s="58"/>
      <c r="D31" s="5"/>
      <c r="E31" s="5"/>
      <c r="F31" s="5"/>
      <c r="G31" s="5"/>
      <c r="H31" s="5"/>
      <c r="I31" s="5"/>
      <c r="J31" s="5"/>
      <c r="K31" s="5"/>
      <c r="L31" s="5"/>
      <c r="M31" s="5"/>
      <c r="N31" s="5"/>
      <c r="O31" s="5"/>
      <c r="P31" s="5"/>
      <c r="Q31" s="33"/>
      <c r="R31" s="33"/>
      <c r="S31" s="5"/>
      <c r="T31" s="85"/>
      <c r="U31" s="6"/>
      <c r="V31" s="6"/>
      <c r="W31" s="6"/>
    </row>
    <row r="32" spans="2:40" ht="11.25">
      <c r="B32" s="49" t="s">
        <v>25</v>
      </c>
      <c r="C32" s="58">
        <v>33340</v>
      </c>
      <c r="D32" s="5"/>
      <c r="E32" s="5"/>
      <c r="F32" s="5"/>
      <c r="G32" s="5">
        <f t="shared" si="0"/>
        <v>624</v>
      </c>
      <c r="H32" s="5">
        <f t="shared" si="1"/>
        <v>31090</v>
      </c>
      <c r="I32" s="5">
        <f t="shared" si="2"/>
        <v>11575</v>
      </c>
      <c r="J32" s="5">
        <f t="shared" si="3"/>
        <v>4630</v>
      </c>
      <c r="K32" s="5">
        <f t="shared" si="4"/>
        <v>3470</v>
      </c>
      <c r="L32" s="5"/>
      <c r="M32" s="5">
        <f t="shared" si="5"/>
        <v>8000</v>
      </c>
      <c r="N32" s="5"/>
      <c r="O32" s="5">
        <f>9030*$A$1</f>
        <v>9030</v>
      </c>
      <c r="P32" s="5"/>
      <c r="Q32" s="33">
        <v>30000</v>
      </c>
      <c r="R32" s="33">
        <v>28420</v>
      </c>
      <c r="S32" s="5"/>
      <c r="T32" s="85">
        <f t="shared" ref="T32:T34" si="8">C32*0.06</f>
        <v>2000.3999999999999</v>
      </c>
      <c r="U32" s="6"/>
      <c r="V32" s="6"/>
      <c r="W32" s="6"/>
    </row>
    <row r="33" spans="2:23" ht="11.25">
      <c r="B33" s="49" t="s">
        <v>26</v>
      </c>
      <c r="C33" s="58">
        <v>33340</v>
      </c>
      <c r="D33" s="5"/>
      <c r="E33" s="5"/>
      <c r="F33" s="5"/>
      <c r="G33" s="5">
        <f t="shared" si="0"/>
        <v>624</v>
      </c>
      <c r="H33" s="5">
        <f t="shared" si="1"/>
        <v>31090</v>
      </c>
      <c r="I33" s="5">
        <f t="shared" si="2"/>
        <v>11575</v>
      </c>
      <c r="J33" s="5">
        <f t="shared" si="3"/>
        <v>4630</v>
      </c>
      <c r="K33" s="5">
        <f t="shared" si="4"/>
        <v>3470</v>
      </c>
      <c r="L33" s="5"/>
      <c r="M33" s="5">
        <f t="shared" si="5"/>
        <v>8000</v>
      </c>
      <c r="N33" s="19">
        <f>2663*$A$1</f>
        <v>2663</v>
      </c>
      <c r="O33" s="32"/>
      <c r="P33" s="19">
        <f>2790*$A$1</f>
        <v>2790</v>
      </c>
      <c r="Q33" s="33">
        <v>25000</v>
      </c>
      <c r="R33" s="33">
        <v>28940</v>
      </c>
      <c r="S33" s="5"/>
      <c r="T33" s="85">
        <f t="shared" si="8"/>
        <v>2000.3999999999999</v>
      </c>
      <c r="U33" s="6"/>
      <c r="V33" s="6"/>
      <c r="W33" s="6"/>
    </row>
    <row r="34" spans="2:23" ht="11.25">
      <c r="B34" s="49" t="s">
        <v>27</v>
      </c>
      <c r="C34" s="58">
        <v>33340</v>
      </c>
      <c r="D34" s="5"/>
      <c r="E34" s="5"/>
      <c r="F34" s="5"/>
      <c r="G34" s="5">
        <f t="shared" si="0"/>
        <v>624</v>
      </c>
      <c r="H34" s="5">
        <f t="shared" si="1"/>
        <v>31090</v>
      </c>
      <c r="I34" s="5">
        <f t="shared" si="2"/>
        <v>11575</v>
      </c>
      <c r="J34" s="5">
        <f t="shared" si="3"/>
        <v>4630</v>
      </c>
      <c r="K34" s="5">
        <f t="shared" si="4"/>
        <v>3470</v>
      </c>
      <c r="L34" s="5"/>
      <c r="M34" s="5">
        <f t="shared" si="5"/>
        <v>8000</v>
      </c>
      <c r="N34" s="5"/>
      <c r="O34" s="5"/>
      <c r="P34" s="5"/>
      <c r="Q34" s="33">
        <v>25000</v>
      </c>
      <c r="R34" s="33">
        <v>28000</v>
      </c>
      <c r="S34" s="5"/>
      <c r="T34" s="85">
        <f t="shared" si="8"/>
        <v>2000.3999999999999</v>
      </c>
      <c r="U34" s="6"/>
      <c r="V34" s="6"/>
      <c r="W34" s="6"/>
    </row>
    <row r="35" spans="2:23" ht="11.25">
      <c r="B35" s="51" t="s">
        <v>6</v>
      </c>
      <c r="C35" s="58"/>
      <c r="D35" s="5"/>
      <c r="E35" s="5"/>
      <c r="F35" s="5"/>
      <c r="G35" s="5"/>
      <c r="H35" s="5"/>
      <c r="I35" s="5"/>
      <c r="J35" s="5"/>
      <c r="K35" s="5"/>
      <c r="L35" s="5"/>
      <c r="M35" s="5"/>
      <c r="N35" s="5"/>
      <c r="O35" s="5"/>
      <c r="P35" s="5"/>
      <c r="Q35" s="33"/>
      <c r="R35" s="33"/>
      <c r="S35" s="5"/>
      <c r="T35" s="85"/>
      <c r="U35" s="6"/>
      <c r="V35" s="6"/>
      <c r="W35" s="6"/>
    </row>
    <row r="36" spans="2:23" ht="11.25">
      <c r="B36" s="49" t="s">
        <v>7</v>
      </c>
      <c r="C36" s="58">
        <v>33340</v>
      </c>
      <c r="D36" s="5"/>
      <c r="E36" s="5"/>
      <c r="F36" s="5"/>
      <c r="G36" s="5">
        <f t="shared" si="0"/>
        <v>624</v>
      </c>
      <c r="H36" s="5">
        <f t="shared" si="1"/>
        <v>31090</v>
      </c>
      <c r="I36" s="5">
        <f t="shared" si="2"/>
        <v>11575</v>
      </c>
      <c r="J36" s="5">
        <f t="shared" si="3"/>
        <v>4630</v>
      </c>
      <c r="K36" s="5">
        <f t="shared" si="4"/>
        <v>3470</v>
      </c>
      <c r="L36" s="5"/>
      <c r="M36" s="5">
        <f t="shared" si="5"/>
        <v>8000</v>
      </c>
      <c r="N36" s="5"/>
      <c r="O36" s="5">
        <f>6017*$A$1</f>
        <v>6017</v>
      </c>
      <c r="P36" s="5"/>
      <c r="Q36" s="33">
        <v>25000</v>
      </c>
      <c r="R36" s="33">
        <v>28940</v>
      </c>
      <c r="S36" s="5"/>
      <c r="T36" s="85">
        <f t="shared" ref="T36:T37" si="9">C36*0.06</f>
        <v>2000.3999999999999</v>
      </c>
      <c r="U36" s="6"/>
      <c r="V36" s="6"/>
      <c r="W36" s="6"/>
    </row>
    <row r="37" spans="2:23" ht="11.25">
      <c r="B37" s="49" t="s">
        <v>31</v>
      </c>
      <c r="C37" s="58">
        <v>33340</v>
      </c>
      <c r="D37" s="5"/>
      <c r="E37" s="5"/>
      <c r="F37" s="5"/>
      <c r="G37" s="5">
        <f t="shared" si="0"/>
        <v>624</v>
      </c>
      <c r="H37" s="5">
        <f t="shared" si="1"/>
        <v>31090</v>
      </c>
      <c r="I37" s="5">
        <f t="shared" si="2"/>
        <v>11575</v>
      </c>
      <c r="J37" s="5">
        <f t="shared" si="3"/>
        <v>4630</v>
      </c>
      <c r="K37" s="5">
        <f t="shared" si="4"/>
        <v>3470</v>
      </c>
      <c r="L37" s="5"/>
      <c r="M37" s="5">
        <f t="shared" si="5"/>
        <v>8000</v>
      </c>
      <c r="N37" s="19">
        <f>2663*$A$1</f>
        <v>2663</v>
      </c>
      <c r="O37" s="32"/>
      <c r="P37" s="19">
        <f>1859*$A$1</f>
        <v>1859</v>
      </c>
      <c r="Q37" s="33">
        <v>25000</v>
      </c>
      <c r="R37" s="33">
        <v>28940</v>
      </c>
      <c r="S37" s="5"/>
      <c r="T37" s="85">
        <f t="shared" si="9"/>
        <v>2000.3999999999999</v>
      </c>
      <c r="U37" s="6"/>
      <c r="V37" s="6"/>
      <c r="W37" s="6"/>
    </row>
    <row r="38" spans="2:23" ht="11.25">
      <c r="B38" s="50" t="s">
        <v>1</v>
      </c>
      <c r="C38" s="58"/>
      <c r="D38" s="5"/>
      <c r="E38" s="5"/>
      <c r="F38" s="5"/>
      <c r="G38" s="5"/>
      <c r="H38" s="5"/>
      <c r="I38" s="5"/>
      <c r="J38" s="5"/>
      <c r="K38" s="5"/>
      <c r="L38" s="5"/>
      <c r="M38" s="5"/>
      <c r="N38" s="19"/>
      <c r="O38" s="19"/>
      <c r="P38" s="19"/>
      <c r="Q38" s="33"/>
      <c r="R38" s="33"/>
      <c r="S38" s="5"/>
      <c r="T38" s="85"/>
      <c r="U38" s="6"/>
      <c r="V38" s="6"/>
      <c r="W38" s="6"/>
    </row>
    <row r="39" spans="2:23" ht="11.25">
      <c r="B39" s="49" t="s">
        <v>34</v>
      </c>
      <c r="C39" s="58">
        <v>33340</v>
      </c>
      <c r="D39" s="5"/>
      <c r="E39" s="5"/>
      <c r="F39" s="5"/>
      <c r="G39" s="5">
        <f t="shared" si="0"/>
        <v>624</v>
      </c>
      <c r="H39" s="5">
        <f t="shared" si="1"/>
        <v>31090</v>
      </c>
      <c r="I39" s="5">
        <f t="shared" si="2"/>
        <v>11575</v>
      </c>
      <c r="J39" s="5">
        <f t="shared" si="3"/>
        <v>4630</v>
      </c>
      <c r="K39" s="5">
        <f t="shared" si="4"/>
        <v>3470</v>
      </c>
      <c r="L39" s="5"/>
      <c r="M39" s="5">
        <f t="shared" si="5"/>
        <v>8000</v>
      </c>
      <c r="N39" s="19"/>
      <c r="O39" s="32"/>
      <c r="P39" s="19">
        <f>1859*$A$1</f>
        <v>1859</v>
      </c>
      <c r="Q39" s="33">
        <v>14027.39</v>
      </c>
      <c r="R39" s="33">
        <v>14370</v>
      </c>
      <c r="S39" s="5"/>
      <c r="T39" s="85">
        <f t="shared" ref="T39:T40" si="10">C39*0.06</f>
        <v>2000.3999999999999</v>
      </c>
      <c r="U39" s="6"/>
      <c r="V39" s="6"/>
      <c r="W39" s="6"/>
    </row>
    <row r="40" spans="2:23" ht="11.25">
      <c r="B40" s="49" t="s">
        <v>33</v>
      </c>
      <c r="C40" s="58">
        <v>33340</v>
      </c>
      <c r="D40" s="5"/>
      <c r="E40" s="5"/>
      <c r="F40" s="5"/>
      <c r="G40" s="5">
        <f t="shared" si="0"/>
        <v>624</v>
      </c>
      <c r="H40" s="5">
        <f t="shared" si="1"/>
        <v>31090</v>
      </c>
      <c r="I40" s="5">
        <f t="shared" si="2"/>
        <v>11575</v>
      </c>
      <c r="J40" s="5">
        <f t="shared" si="3"/>
        <v>4630</v>
      </c>
      <c r="K40" s="5">
        <f t="shared" si="4"/>
        <v>3470</v>
      </c>
      <c r="L40" s="5"/>
      <c r="M40" s="5">
        <f t="shared" si="5"/>
        <v>8000</v>
      </c>
      <c r="N40" s="19"/>
      <c r="O40" s="19">
        <f>6017*$A$1</f>
        <v>6017</v>
      </c>
      <c r="P40" s="19"/>
      <c r="Q40" s="33">
        <v>25000</v>
      </c>
      <c r="R40" s="33">
        <v>28940</v>
      </c>
      <c r="S40" s="5"/>
      <c r="T40" s="85">
        <f t="shared" si="10"/>
        <v>2000.3999999999999</v>
      </c>
      <c r="U40" s="6"/>
      <c r="V40" s="6"/>
      <c r="W40" s="6"/>
    </row>
    <row r="41" spans="2:23" ht="11.25">
      <c r="B41" s="52" t="s">
        <v>13</v>
      </c>
      <c r="C41" s="58"/>
      <c r="D41" s="5"/>
      <c r="E41" s="5"/>
      <c r="F41" s="5"/>
      <c r="G41" s="5"/>
      <c r="H41" s="5"/>
      <c r="I41" s="5"/>
      <c r="J41" s="5"/>
      <c r="K41" s="5"/>
      <c r="L41" s="5"/>
      <c r="M41" s="5"/>
      <c r="N41" s="19"/>
      <c r="O41" s="19"/>
      <c r="P41" s="19"/>
      <c r="Q41" s="33"/>
      <c r="R41" s="33"/>
      <c r="S41" s="5"/>
      <c r="T41" s="85"/>
      <c r="U41" s="6"/>
      <c r="V41" s="6"/>
      <c r="W41" s="6"/>
    </row>
    <row r="42" spans="2:23" ht="11.25">
      <c r="B42" s="49" t="s">
        <v>28</v>
      </c>
      <c r="C42" s="58">
        <v>33340</v>
      </c>
      <c r="D42" s="5"/>
      <c r="E42" s="5"/>
      <c r="F42" s="5"/>
      <c r="G42" s="5">
        <f t="shared" si="0"/>
        <v>624</v>
      </c>
      <c r="H42" s="5">
        <f t="shared" si="1"/>
        <v>31090</v>
      </c>
      <c r="I42" s="5">
        <f t="shared" si="2"/>
        <v>11575</v>
      </c>
      <c r="J42" s="5">
        <f t="shared" si="3"/>
        <v>4630</v>
      </c>
      <c r="K42" s="5">
        <f t="shared" si="4"/>
        <v>3470</v>
      </c>
      <c r="L42" s="5"/>
      <c r="M42" s="5">
        <f t="shared" si="5"/>
        <v>8000</v>
      </c>
      <c r="N42" s="19"/>
      <c r="O42" s="19">
        <f>6017*$A$1</f>
        <v>6017</v>
      </c>
      <c r="P42" s="19"/>
      <c r="Q42" s="33">
        <v>25000</v>
      </c>
      <c r="R42" s="33">
        <v>28940</v>
      </c>
      <c r="S42" s="5"/>
      <c r="T42" s="85">
        <f t="shared" ref="T42:T43" si="11">C42*0.06</f>
        <v>2000.3999999999999</v>
      </c>
      <c r="U42" s="6"/>
      <c r="V42" s="6"/>
      <c r="W42" s="6"/>
    </row>
    <row r="43" spans="2:23" ht="11.25">
      <c r="B43" s="49" t="s">
        <v>29</v>
      </c>
      <c r="C43" s="58">
        <v>33340</v>
      </c>
      <c r="D43" s="5"/>
      <c r="E43" s="5"/>
      <c r="F43" s="5"/>
      <c r="G43" s="5">
        <f t="shared" si="0"/>
        <v>624</v>
      </c>
      <c r="H43" s="5">
        <f t="shared" si="1"/>
        <v>31090</v>
      </c>
      <c r="I43" s="5">
        <f t="shared" si="2"/>
        <v>11575</v>
      </c>
      <c r="J43" s="5">
        <f t="shared" si="3"/>
        <v>4630</v>
      </c>
      <c r="K43" s="5">
        <f t="shared" si="4"/>
        <v>3470</v>
      </c>
      <c r="L43" s="5"/>
      <c r="M43" s="5">
        <f t="shared" si="5"/>
        <v>8000</v>
      </c>
      <c r="N43" s="19">
        <f>2663*$A$1</f>
        <v>2663</v>
      </c>
      <c r="O43" s="32"/>
      <c r="P43" s="19">
        <f>1859*$A$1</f>
        <v>1859</v>
      </c>
      <c r="Q43" s="33">
        <v>25000</v>
      </c>
      <c r="R43" s="33">
        <v>28940</v>
      </c>
      <c r="S43" s="5"/>
      <c r="T43" s="85">
        <f t="shared" si="11"/>
        <v>2000.3999999999999</v>
      </c>
      <c r="U43" s="6"/>
      <c r="V43" s="6"/>
      <c r="W43" s="6"/>
    </row>
    <row r="44" spans="2:23" ht="11.25">
      <c r="B44" s="53" t="s">
        <v>5</v>
      </c>
      <c r="C44" s="58"/>
      <c r="D44" s="5"/>
      <c r="E44" s="5"/>
      <c r="F44" s="5"/>
      <c r="G44" s="5"/>
      <c r="H44" s="5"/>
      <c r="I44" s="5"/>
      <c r="J44" s="5"/>
      <c r="K44" s="5"/>
      <c r="L44" s="5"/>
      <c r="M44" s="5"/>
      <c r="N44" s="5"/>
      <c r="O44" s="5"/>
      <c r="P44" s="5"/>
      <c r="Q44" s="33"/>
      <c r="R44" s="33"/>
      <c r="S44" s="5"/>
      <c r="T44" s="85"/>
      <c r="U44" s="6"/>
      <c r="V44" s="6"/>
      <c r="W44" s="6"/>
    </row>
    <row r="45" spans="2:23" ht="11.25">
      <c r="B45" s="49" t="s">
        <v>35</v>
      </c>
      <c r="C45" s="58">
        <v>33340</v>
      </c>
      <c r="D45" s="5"/>
      <c r="E45" s="5"/>
      <c r="F45" s="5"/>
      <c r="G45" s="5">
        <f t="shared" si="0"/>
        <v>624</v>
      </c>
      <c r="H45" s="5">
        <f t="shared" si="1"/>
        <v>31090</v>
      </c>
      <c r="I45" s="5">
        <f t="shared" si="2"/>
        <v>11575</v>
      </c>
      <c r="J45" s="5">
        <f t="shared" si="3"/>
        <v>4630</v>
      </c>
      <c r="K45" s="5">
        <f t="shared" si="4"/>
        <v>3470</v>
      </c>
      <c r="L45" s="5"/>
      <c r="M45" s="5">
        <f t="shared" si="5"/>
        <v>8000</v>
      </c>
      <c r="N45" s="5"/>
      <c r="O45" s="5"/>
      <c r="P45" s="5"/>
      <c r="Q45" s="33">
        <v>25000</v>
      </c>
      <c r="R45" s="33">
        <v>49880</v>
      </c>
      <c r="S45" s="5"/>
      <c r="T45" s="85">
        <f>C45*0.06</f>
        <v>2000.3999999999999</v>
      </c>
      <c r="U45" s="6"/>
      <c r="V45" s="6"/>
      <c r="W45" s="6"/>
    </row>
    <row r="46" spans="2:23" ht="11.25">
      <c r="B46" s="51" t="s">
        <v>8</v>
      </c>
      <c r="C46" s="58"/>
      <c r="D46" s="5"/>
      <c r="E46" s="5"/>
      <c r="F46" s="5"/>
      <c r="G46" s="5"/>
      <c r="H46" s="5"/>
      <c r="I46" s="5"/>
      <c r="J46" s="5"/>
      <c r="K46" s="5"/>
      <c r="L46" s="5"/>
      <c r="M46" s="5"/>
      <c r="N46" s="5"/>
      <c r="O46" s="5"/>
      <c r="P46" s="5"/>
      <c r="Q46" s="33"/>
      <c r="R46" s="33"/>
      <c r="S46" s="5"/>
      <c r="T46" s="85"/>
      <c r="U46" s="6"/>
      <c r="V46" s="6"/>
      <c r="W46" s="6"/>
    </row>
    <row r="47" spans="2:23" ht="11.25">
      <c r="B47" s="49" t="s">
        <v>32</v>
      </c>
      <c r="C47" s="58">
        <v>33340</v>
      </c>
      <c r="D47" s="5"/>
      <c r="E47" s="5"/>
      <c r="F47" s="5"/>
      <c r="G47" s="5">
        <f t="shared" si="0"/>
        <v>624</v>
      </c>
      <c r="H47" s="5">
        <f t="shared" si="1"/>
        <v>31090</v>
      </c>
      <c r="I47" s="5">
        <f t="shared" si="2"/>
        <v>11575</v>
      </c>
      <c r="J47" s="5">
        <f t="shared" si="3"/>
        <v>4630</v>
      </c>
      <c r="K47" s="5">
        <f t="shared" si="4"/>
        <v>3470</v>
      </c>
      <c r="L47" s="5"/>
      <c r="M47" s="5">
        <f t="shared" si="5"/>
        <v>8000</v>
      </c>
      <c r="N47" s="5"/>
      <c r="O47" s="5"/>
      <c r="P47" s="5"/>
      <c r="Q47" s="33">
        <v>0</v>
      </c>
      <c r="R47" s="33">
        <v>8000</v>
      </c>
      <c r="S47" s="5"/>
      <c r="T47" s="85">
        <f>C47*0.06</f>
        <v>2000.3999999999999</v>
      </c>
      <c r="U47" s="6"/>
      <c r="V47" s="6"/>
      <c r="W47" s="6"/>
    </row>
    <row r="48" spans="2:23" ht="11.25">
      <c r="B48" s="50" t="s">
        <v>12</v>
      </c>
      <c r="C48" s="58"/>
      <c r="D48" s="5"/>
      <c r="E48" s="5"/>
      <c r="F48" s="5"/>
      <c r="G48" s="5"/>
      <c r="H48" s="5"/>
      <c r="I48" s="5"/>
      <c r="J48" s="5"/>
      <c r="K48" s="5"/>
      <c r="L48" s="5"/>
      <c r="M48" s="5"/>
      <c r="N48" s="5"/>
      <c r="O48" s="5"/>
      <c r="P48" s="5"/>
      <c r="Q48" s="33"/>
      <c r="R48" s="33"/>
      <c r="S48" s="5"/>
      <c r="T48" s="85"/>
      <c r="U48" s="6"/>
      <c r="V48" s="6"/>
      <c r="W48" s="6"/>
    </row>
    <row r="49" spans="1:40" ht="11.25">
      <c r="B49" s="49" t="s">
        <v>30</v>
      </c>
      <c r="C49" s="58">
        <v>33340</v>
      </c>
      <c r="D49" s="5"/>
      <c r="E49" s="5"/>
      <c r="F49" s="5"/>
      <c r="G49" s="5">
        <f t="shared" si="0"/>
        <v>624</v>
      </c>
      <c r="H49" s="5">
        <f t="shared" si="1"/>
        <v>31090</v>
      </c>
      <c r="I49" s="5">
        <f t="shared" si="2"/>
        <v>11575</v>
      </c>
      <c r="J49" s="5">
        <f t="shared" si="3"/>
        <v>4630</v>
      </c>
      <c r="K49" s="5">
        <f t="shared" si="4"/>
        <v>3470</v>
      </c>
      <c r="L49" s="5"/>
      <c r="M49" s="5">
        <f t="shared" si="5"/>
        <v>8000</v>
      </c>
      <c r="N49" s="8"/>
      <c r="O49" s="8"/>
      <c r="P49" s="8"/>
      <c r="Q49" s="33">
        <v>25000</v>
      </c>
      <c r="R49" s="33">
        <v>28900</v>
      </c>
      <c r="S49" s="5"/>
      <c r="T49" s="85">
        <f>C49*0.06</f>
        <v>2000.3999999999999</v>
      </c>
    </row>
    <row r="50" spans="1:40" ht="11.25">
      <c r="B50" s="54"/>
      <c r="C50" s="15"/>
      <c r="D50" s="16"/>
      <c r="E50" s="16"/>
      <c r="F50" s="16"/>
      <c r="G50" s="16"/>
      <c r="H50" s="16"/>
      <c r="I50" s="16"/>
      <c r="J50" s="16"/>
      <c r="K50" s="16"/>
      <c r="L50" s="16"/>
      <c r="M50" s="16"/>
      <c r="N50" s="17"/>
      <c r="O50" s="17"/>
      <c r="P50" s="17"/>
      <c r="Q50" s="34"/>
      <c r="R50" s="34"/>
      <c r="S50" s="16"/>
      <c r="T50" s="86"/>
    </row>
    <row r="51" spans="1:40" s="26" customFormat="1">
      <c r="A51" s="21"/>
      <c r="B51" s="27" t="s">
        <v>79</v>
      </c>
      <c r="C51" s="28">
        <f t="shared" ref="C51:K51" si="12">SUM(C9:C49)</f>
        <v>1100220</v>
      </c>
      <c r="D51" s="28">
        <f t="shared" si="12"/>
        <v>0</v>
      </c>
      <c r="E51" s="28">
        <f t="shared" si="12"/>
        <v>0</v>
      </c>
      <c r="F51" s="28">
        <f t="shared" si="12"/>
        <v>0</v>
      </c>
      <c r="G51" s="28">
        <f t="shared" si="12"/>
        <v>20592</v>
      </c>
      <c r="H51" s="28">
        <f t="shared" si="12"/>
        <v>1025970</v>
      </c>
      <c r="I51" s="28">
        <f t="shared" si="12"/>
        <v>381975</v>
      </c>
      <c r="J51" s="28">
        <f t="shared" si="12"/>
        <v>152790</v>
      </c>
      <c r="K51" s="28">
        <f t="shared" si="12"/>
        <v>111040</v>
      </c>
      <c r="L51" s="28"/>
      <c r="M51" s="28">
        <f t="shared" ref="M51:T51" si="13">SUM(M9:M49)</f>
        <v>264000</v>
      </c>
      <c r="N51" s="28">
        <f t="shared" si="13"/>
        <v>33978</v>
      </c>
      <c r="O51" s="28">
        <f t="shared" si="13"/>
        <v>90291</v>
      </c>
      <c r="P51" s="28">
        <f t="shared" si="13"/>
        <v>27895</v>
      </c>
      <c r="Q51" s="28">
        <f t="shared" si="13"/>
        <v>820376.02</v>
      </c>
      <c r="R51" s="28">
        <f t="shared" si="13"/>
        <v>862036.99</v>
      </c>
      <c r="S51" s="28"/>
      <c r="T51" s="87">
        <f t="shared" si="13"/>
        <v>66013.200000000026</v>
      </c>
      <c r="U51" s="25"/>
      <c r="V51" s="25"/>
      <c r="W51" s="25"/>
      <c r="X51" s="25"/>
      <c r="Y51" s="25"/>
      <c r="Z51" s="25"/>
      <c r="AA51" s="25"/>
      <c r="AB51" s="25"/>
      <c r="AC51" s="25"/>
      <c r="AD51" s="25"/>
      <c r="AE51" s="25"/>
      <c r="AF51" s="25"/>
      <c r="AG51" s="25"/>
      <c r="AH51" s="25"/>
      <c r="AI51" s="25"/>
      <c r="AJ51" s="25"/>
      <c r="AK51" s="25"/>
      <c r="AL51" s="25"/>
      <c r="AM51" s="25"/>
      <c r="AN51" s="25"/>
    </row>
    <row r="52" spans="1:40" s="29" customFormat="1" ht="7.5" customHeight="1" thickBot="1">
      <c r="B52" s="55"/>
      <c r="C52" s="59"/>
      <c r="D52" s="30"/>
      <c r="E52" s="30"/>
      <c r="F52" s="30"/>
      <c r="G52" s="30"/>
      <c r="H52" s="30"/>
      <c r="I52" s="30"/>
      <c r="J52" s="30"/>
      <c r="K52" s="30"/>
      <c r="L52" s="30"/>
      <c r="M52" s="30"/>
      <c r="N52" s="30"/>
      <c r="O52" s="30"/>
      <c r="P52" s="30"/>
      <c r="Q52" s="30"/>
      <c r="R52" s="30"/>
      <c r="S52" s="30"/>
      <c r="T52" s="46"/>
    </row>
    <row r="53" spans="1:40" ht="13.5" thickTop="1">
      <c r="B53" s="10" t="s">
        <v>59</v>
      </c>
      <c r="C53" s="2" t="s">
        <v>60</v>
      </c>
    </row>
    <row r="54" spans="1:40">
      <c r="B54" s="10" t="s">
        <v>66</v>
      </c>
      <c r="C54" s="2" t="s">
        <v>69</v>
      </c>
    </row>
    <row r="55" spans="1:40">
      <c r="B55" s="10" t="s">
        <v>70</v>
      </c>
      <c r="C55" s="2" t="s">
        <v>71</v>
      </c>
    </row>
    <row r="56" spans="1:40">
      <c r="B56" s="10" t="s">
        <v>74</v>
      </c>
      <c r="C56" s="2" t="s">
        <v>75</v>
      </c>
    </row>
    <row r="57" spans="1:40">
      <c r="B57" s="10" t="s">
        <v>83</v>
      </c>
      <c r="C57" s="2" t="s">
        <v>88</v>
      </c>
    </row>
    <row r="58" spans="1:40">
      <c r="B58" s="10" t="s">
        <v>86</v>
      </c>
      <c r="C58" s="2" t="s">
        <v>89</v>
      </c>
    </row>
    <row r="59" spans="1:40">
      <c r="B59" s="10" t="s">
        <v>87</v>
      </c>
      <c r="C59" s="99" t="s">
        <v>96</v>
      </c>
    </row>
    <row r="60" spans="1:40">
      <c r="B60" s="10" t="s">
        <v>90</v>
      </c>
      <c r="C60" s="2" t="s">
        <v>93</v>
      </c>
    </row>
    <row r="63" spans="1:40">
      <c r="B63" s="11"/>
    </row>
    <row r="64" spans="1:40">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sheetData>
  <mergeCells count="7">
    <mergeCell ref="B1:U1"/>
    <mergeCell ref="B2:U2"/>
    <mergeCell ref="B3:U3"/>
    <mergeCell ref="B4:U4"/>
    <mergeCell ref="C6:P6"/>
    <mergeCell ref="Q6:R6"/>
    <mergeCell ref="S6:T6"/>
  </mergeCells>
  <printOptions horizontalCentered="1"/>
  <pageMargins left="0.51181102362204722" right="0.31496062992125984" top="0.74803149606299213" bottom="0.74803149606299213" header="0.31496062992125984" footer="0.31496062992125984"/>
  <pageSetup paperSize="5" scale="70" orientation="landscape" r:id="rId1"/>
  <drawing r:id="rId2"/>
</worksheet>
</file>

<file path=xl/worksheets/sheet6.xml><?xml version="1.0" encoding="utf-8"?>
<worksheet xmlns="http://schemas.openxmlformats.org/spreadsheetml/2006/main" xmlns:r="http://schemas.openxmlformats.org/officeDocument/2006/relationships">
  <sheetPr>
    <tabColor rgb="FF00B050"/>
    <pageSetUpPr fitToPage="1"/>
  </sheetPr>
  <dimension ref="A1:AP89"/>
  <sheetViews>
    <sheetView workbookViewId="0">
      <pane xSplit="2" ySplit="8" topLeftCell="C30" activePane="bottomRight" state="frozen"/>
      <selection pane="topRight" activeCell="C1" sqref="C1"/>
      <selection pane="bottomLeft" activeCell="A9" sqref="A9"/>
      <selection pane="bottomRight" activeCell="C59" sqref="C59"/>
    </sheetView>
  </sheetViews>
  <sheetFormatPr baseColWidth="10" defaultColWidth="11.42578125" defaultRowHeight="12.75"/>
  <cols>
    <col min="1" max="1" width="1.5703125" style="2" customWidth="1"/>
    <col min="2" max="2" width="32.140625" style="12" customWidth="1"/>
    <col min="3" max="3" width="12.85546875" style="2" customWidth="1"/>
    <col min="4" max="4" width="11.140625" style="2" customWidth="1"/>
    <col min="5" max="5" width="10.5703125" style="2" customWidth="1"/>
    <col min="6" max="6" width="12" style="2" customWidth="1"/>
    <col min="7" max="7" width="9.85546875" style="2" bestFit="1" customWidth="1"/>
    <col min="8" max="8" width="12.85546875" style="2" customWidth="1"/>
    <col min="9" max="9" width="12" style="2" customWidth="1"/>
    <col min="10" max="11" width="11.28515625" style="2" bestFit="1" customWidth="1"/>
    <col min="12" max="12" width="2.7109375" style="2" bestFit="1" customWidth="1"/>
    <col min="13" max="13" width="11.28515625" style="2" bestFit="1" customWidth="1"/>
    <col min="14" max="14" width="9.85546875" style="2" bestFit="1" customWidth="1"/>
    <col min="15" max="15" width="11.28515625" style="2" bestFit="1" customWidth="1"/>
    <col min="16" max="16" width="10.85546875" style="2" customWidth="1"/>
    <col min="17" max="17" width="12.28515625" style="2" bestFit="1" customWidth="1"/>
    <col min="18" max="18" width="2.5703125" style="2" customWidth="1"/>
    <col min="19" max="19" width="12.28515625" style="2" bestFit="1" customWidth="1"/>
    <col min="20" max="20" width="2.5703125" style="2" customWidth="1"/>
    <col min="21" max="21" width="11.28515625" style="2" bestFit="1" customWidth="1"/>
    <col min="22" max="22" width="9.85546875" style="2" bestFit="1" customWidth="1"/>
    <col min="23" max="23" width="3.7109375" style="2" customWidth="1"/>
    <col min="24" max="16384" width="11.42578125" style="2"/>
  </cols>
  <sheetData>
    <row r="1" spans="1:42" ht="18.75">
      <c r="A1" s="2">
        <v>1</v>
      </c>
      <c r="B1" s="93" t="s">
        <v>48</v>
      </c>
      <c r="C1" s="93"/>
      <c r="D1" s="93"/>
      <c r="E1" s="93"/>
      <c r="F1" s="93"/>
      <c r="G1" s="93"/>
      <c r="H1" s="93"/>
      <c r="I1" s="93"/>
      <c r="J1" s="93"/>
      <c r="K1" s="93"/>
      <c r="L1" s="93"/>
      <c r="M1" s="93"/>
      <c r="N1" s="93"/>
      <c r="O1" s="93"/>
      <c r="P1" s="93"/>
      <c r="Q1" s="93"/>
      <c r="R1" s="93"/>
      <c r="S1" s="93"/>
      <c r="T1" s="93"/>
      <c r="U1" s="93"/>
      <c r="V1" s="93"/>
      <c r="W1" s="93"/>
    </row>
    <row r="2" spans="1:42" ht="15.75">
      <c r="B2" s="94" t="s">
        <v>54</v>
      </c>
      <c r="C2" s="94"/>
      <c r="D2" s="94"/>
      <c r="E2" s="94"/>
      <c r="F2" s="94"/>
      <c r="G2" s="94"/>
      <c r="H2" s="94"/>
      <c r="I2" s="94"/>
      <c r="J2" s="94"/>
      <c r="K2" s="94"/>
      <c r="L2" s="94"/>
      <c r="M2" s="94"/>
      <c r="N2" s="94"/>
      <c r="O2" s="94"/>
      <c r="P2" s="94"/>
      <c r="Q2" s="94"/>
      <c r="R2" s="94"/>
      <c r="S2" s="94"/>
      <c r="T2" s="94"/>
      <c r="U2" s="94"/>
      <c r="V2" s="94"/>
      <c r="W2" s="94"/>
    </row>
    <row r="3" spans="1:42" ht="15.75">
      <c r="B3" s="94" t="s">
        <v>65</v>
      </c>
      <c r="C3" s="94"/>
      <c r="D3" s="94"/>
      <c r="E3" s="94"/>
      <c r="F3" s="94"/>
      <c r="G3" s="94"/>
      <c r="H3" s="94"/>
      <c r="I3" s="94"/>
      <c r="J3" s="94"/>
      <c r="K3" s="94"/>
      <c r="L3" s="94"/>
      <c r="M3" s="94"/>
      <c r="N3" s="94"/>
      <c r="O3" s="94"/>
      <c r="P3" s="94"/>
      <c r="Q3" s="94"/>
      <c r="R3" s="94"/>
      <c r="S3" s="94"/>
      <c r="T3" s="94"/>
      <c r="U3" s="94"/>
      <c r="V3" s="94"/>
      <c r="W3" s="94"/>
      <c r="X3" s="1"/>
      <c r="Y3" s="1"/>
      <c r="Z3" s="1"/>
      <c r="AA3" s="1"/>
      <c r="AB3" s="1"/>
      <c r="AC3" s="1"/>
      <c r="AD3" s="1"/>
      <c r="AE3" s="1"/>
      <c r="AF3" s="1"/>
      <c r="AG3" s="1"/>
      <c r="AH3" s="1"/>
      <c r="AI3" s="1"/>
      <c r="AJ3" s="1"/>
      <c r="AK3" s="1"/>
      <c r="AL3" s="1"/>
      <c r="AM3" s="1"/>
      <c r="AN3" s="1"/>
      <c r="AO3" s="1"/>
      <c r="AP3" s="1"/>
    </row>
    <row r="4" spans="1:42" ht="15.75">
      <c r="B4" s="98" t="s">
        <v>82</v>
      </c>
      <c r="C4" s="98"/>
      <c r="D4" s="98"/>
      <c r="E4" s="98"/>
      <c r="F4" s="98"/>
      <c r="G4" s="98"/>
      <c r="H4" s="98"/>
      <c r="I4" s="98"/>
      <c r="J4" s="98"/>
      <c r="K4" s="98"/>
      <c r="L4" s="98"/>
      <c r="M4" s="98"/>
      <c r="N4" s="98"/>
      <c r="O4" s="98"/>
      <c r="P4" s="98"/>
      <c r="Q4" s="98"/>
      <c r="R4" s="98"/>
      <c r="S4" s="98"/>
      <c r="T4" s="98"/>
      <c r="U4" s="98"/>
      <c r="V4" s="98"/>
      <c r="W4" s="98"/>
      <c r="X4" s="1"/>
      <c r="Y4" s="1"/>
      <c r="Z4" s="1"/>
      <c r="AA4" s="1"/>
      <c r="AB4" s="1"/>
      <c r="AC4" s="1"/>
      <c r="AD4" s="1"/>
      <c r="AE4" s="1"/>
      <c r="AF4" s="1"/>
      <c r="AG4" s="1"/>
      <c r="AH4" s="1"/>
      <c r="AI4" s="1"/>
      <c r="AJ4" s="1"/>
      <c r="AK4" s="1"/>
      <c r="AL4" s="1"/>
      <c r="AM4" s="1"/>
      <c r="AN4" s="1"/>
      <c r="AO4" s="1"/>
      <c r="AP4" s="1"/>
    </row>
    <row r="5" spans="1:42" ht="16.5" thickBot="1">
      <c r="B5" s="82"/>
      <c r="C5" s="82"/>
      <c r="D5" s="82"/>
      <c r="E5" s="82"/>
      <c r="F5" s="82"/>
      <c r="G5" s="82"/>
      <c r="H5" s="82"/>
      <c r="I5" s="82"/>
      <c r="J5" s="82"/>
      <c r="K5" s="82"/>
      <c r="L5" s="82"/>
      <c r="M5" s="82"/>
      <c r="N5" s="82"/>
      <c r="O5" s="82"/>
      <c r="P5" s="82"/>
      <c r="Q5" s="82"/>
      <c r="R5" s="90"/>
      <c r="S5" s="82"/>
      <c r="T5" s="90"/>
      <c r="U5" s="82"/>
      <c r="V5" s="82"/>
      <c r="W5" s="82"/>
      <c r="X5" s="1"/>
      <c r="Y5" s="1"/>
      <c r="Z5" s="1"/>
      <c r="AA5" s="1"/>
      <c r="AB5" s="1"/>
      <c r="AC5" s="1"/>
      <c r="AD5" s="1"/>
      <c r="AE5" s="1"/>
      <c r="AF5" s="1"/>
      <c r="AG5" s="1"/>
      <c r="AH5" s="1"/>
      <c r="AI5" s="1"/>
      <c r="AJ5" s="1"/>
      <c r="AK5" s="1"/>
      <c r="AL5" s="1"/>
      <c r="AM5" s="1"/>
      <c r="AN5" s="1"/>
      <c r="AO5" s="1"/>
      <c r="AP5" s="1"/>
    </row>
    <row r="6" spans="1:42" ht="20.25" thickTop="1" thickBot="1">
      <c r="B6" s="31"/>
      <c r="C6" s="95" t="s">
        <v>68</v>
      </c>
      <c r="D6" s="96"/>
      <c r="E6" s="96"/>
      <c r="F6" s="96"/>
      <c r="G6" s="96"/>
      <c r="H6" s="96"/>
      <c r="I6" s="96"/>
      <c r="J6" s="96"/>
      <c r="K6" s="96"/>
      <c r="L6" s="96"/>
      <c r="M6" s="96"/>
      <c r="N6" s="96"/>
      <c r="O6" s="96"/>
      <c r="P6" s="97"/>
      <c r="Q6" s="95" t="s">
        <v>72</v>
      </c>
      <c r="R6" s="96"/>
      <c r="S6" s="97"/>
      <c r="T6" s="91"/>
      <c r="U6" s="95" t="s">
        <v>73</v>
      </c>
      <c r="V6" s="97"/>
      <c r="W6" s="31"/>
      <c r="X6" s="1"/>
      <c r="Y6" s="1"/>
      <c r="Z6" s="1"/>
      <c r="AA6" s="1"/>
      <c r="AB6" s="1"/>
      <c r="AC6" s="1"/>
      <c r="AD6" s="1"/>
      <c r="AE6" s="1"/>
      <c r="AF6" s="1"/>
      <c r="AG6" s="1"/>
      <c r="AH6" s="1"/>
      <c r="AI6" s="1"/>
      <c r="AJ6" s="1"/>
      <c r="AK6" s="1"/>
      <c r="AL6" s="1"/>
      <c r="AM6" s="1"/>
      <c r="AN6" s="1"/>
      <c r="AO6" s="1"/>
      <c r="AP6" s="1"/>
    </row>
    <row r="7" spans="1:42" s="3" customFormat="1" ht="37.5" customHeight="1" thickTop="1" thickBot="1">
      <c r="A7" s="2"/>
      <c r="B7" s="47"/>
      <c r="C7" s="56" t="s">
        <v>94</v>
      </c>
      <c r="D7" s="20" t="s">
        <v>62</v>
      </c>
      <c r="E7" s="20" t="s">
        <v>63</v>
      </c>
      <c r="F7" s="20" t="s">
        <v>58</v>
      </c>
      <c r="G7" s="20" t="s">
        <v>55</v>
      </c>
      <c r="H7" s="20" t="s">
        <v>45</v>
      </c>
      <c r="I7" s="20" t="s">
        <v>49</v>
      </c>
      <c r="J7" s="20" t="s">
        <v>50</v>
      </c>
      <c r="K7" s="20" t="s">
        <v>51</v>
      </c>
      <c r="L7" s="20"/>
      <c r="M7" s="20" t="s">
        <v>9</v>
      </c>
      <c r="N7" s="20" t="s">
        <v>0</v>
      </c>
      <c r="O7" s="20" t="s">
        <v>56</v>
      </c>
      <c r="P7" s="20" t="s">
        <v>57</v>
      </c>
      <c r="Q7" s="20" t="s">
        <v>84</v>
      </c>
      <c r="R7" s="20"/>
      <c r="S7" s="20" t="s">
        <v>85</v>
      </c>
      <c r="T7" s="20"/>
      <c r="U7" s="20" t="s">
        <v>11</v>
      </c>
      <c r="V7" s="88" t="s">
        <v>10</v>
      </c>
      <c r="W7" s="1"/>
      <c r="X7" s="1"/>
      <c r="Y7" s="1"/>
      <c r="Z7" s="1"/>
      <c r="AA7" s="1"/>
      <c r="AB7" s="1"/>
      <c r="AC7" s="1"/>
      <c r="AD7" s="1"/>
      <c r="AE7" s="1"/>
      <c r="AF7" s="1"/>
      <c r="AG7" s="1"/>
      <c r="AH7" s="1"/>
      <c r="AI7" s="1"/>
      <c r="AJ7" s="1"/>
      <c r="AK7" s="1"/>
      <c r="AL7" s="1"/>
      <c r="AM7" s="1"/>
      <c r="AN7" s="1"/>
      <c r="AO7" s="1"/>
      <c r="AP7" s="1"/>
    </row>
    <row r="8" spans="1:42" ht="12" thickTop="1">
      <c r="B8" s="48" t="s">
        <v>3</v>
      </c>
      <c r="C8" s="57"/>
      <c r="D8" s="4"/>
      <c r="E8" s="4"/>
      <c r="F8" s="4"/>
      <c r="G8" s="4"/>
      <c r="H8" s="4"/>
      <c r="I8" s="4"/>
      <c r="J8" s="4"/>
      <c r="K8" s="4"/>
      <c r="L8" s="4"/>
      <c r="M8" s="4"/>
      <c r="N8" s="4"/>
      <c r="O8" s="4"/>
      <c r="P8" s="4"/>
      <c r="Q8" s="13"/>
      <c r="R8" s="13"/>
      <c r="S8" s="13"/>
      <c r="T8" s="4"/>
      <c r="U8" s="13"/>
      <c r="V8" s="84"/>
      <c r="W8" s="1"/>
      <c r="X8" s="1"/>
      <c r="Y8" s="1"/>
      <c r="Z8" s="1"/>
      <c r="AA8" s="1"/>
      <c r="AB8" s="1"/>
      <c r="AC8" s="1"/>
      <c r="AD8" s="1"/>
      <c r="AE8" s="1"/>
      <c r="AF8" s="1"/>
      <c r="AG8" s="1"/>
      <c r="AH8" s="1"/>
      <c r="AI8" s="1"/>
      <c r="AJ8" s="1"/>
      <c r="AK8" s="1"/>
      <c r="AL8" s="1"/>
      <c r="AM8" s="1"/>
      <c r="AN8" s="1"/>
      <c r="AO8" s="1"/>
      <c r="AP8" s="1"/>
    </row>
    <row r="9" spans="1:42" ht="11.25">
      <c r="B9" s="49" t="s">
        <v>40</v>
      </c>
      <c r="C9" s="58">
        <v>33340</v>
      </c>
      <c r="D9" s="5"/>
      <c r="E9" s="5"/>
      <c r="F9" s="5"/>
      <c r="G9" s="5">
        <f t="shared" ref="G9:G49" si="0">624*$A$1</f>
        <v>624</v>
      </c>
      <c r="H9" s="5">
        <f t="shared" ref="H9:H49" si="1">31090*$A$1</f>
        <v>31090</v>
      </c>
      <c r="I9" s="5">
        <f t="shared" ref="I9:I49" si="2">11575*$A$1</f>
        <v>11575</v>
      </c>
      <c r="J9" s="5">
        <f t="shared" ref="J9:J49" si="3">4630*$A$1</f>
        <v>4630</v>
      </c>
      <c r="K9" s="5">
        <f t="shared" ref="K9:K49" si="4">3470*$A$1</f>
        <v>3470</v>
      </c>
      <c r="L9" s="5"/>
      <c r="M9" s="5">
        <f t="shared" ref="M9:M49" si="5">8000*$A$1</f>
        <v>8000</v>
      </c>
      <c r="N9" s="5"/>
      <c r="O9" s="5"/>
      <c r="P9" s="5"/>
      <c r="Q9" s="83">
        <v>25000</v>
      </c>
      <c r="R9" s="83"/>
      <c r="S9" s="33">
        <v>28900</v>
      </c>
      <c r="T9" s="5"/>
      <c r="U9" s="14">
        <f>C9*0.2</f>
        <v>6668</v>
      </c>
      <c r="V9" s="85">
        <f>C9*0.06</f>
        <v>2000.3999999999999</v>
      </c>
      <c r="W9" s="6"/>
      <c r="X9" s="6"/>
      <c r="Y9" s="6"/>
    </row>
    <row r="10" spans="1:42" ht="11.25">
      <c r="B10" s="49" t="s">
        <v>16</v>
      </c>
      <c r="C10" s="58">
        <v>33340</v>
      </c>
      <c r="D10" s="5"/>
      <c r="E10" s="5"/>
      <c r="F10" s="5"/>
      <c r="G10" s="5">
        <f t="shared" si="0"/>
        <v>624</v>
      </c>
      <c r="H10" s="5">
        <f t="shared" si="1"/>
        <v>31090</v>
      </c>
      <c r="I10" s="5">
        <f t="shared" si="2"/>
        <v>11575</v>
      </c>
      <c r="J10" s="5">
        <f t="shared" si="3"/>
        <v>4630</v>
      </c>
      <c r="K10" s="5">
        <f t="shared" si="4"/>
        <v>3470</v>
      </c>
      <c r="L10" s="5"/>
      <c r="M10" s="5">
        <f t="shared" si="5"/>
        <v>8000</v>
      </c>
      <c r="N10" s="5"/>
      <c r="O10" s="5"/>
      <c r="P10" s="5"/>
      <c r="Q10" s="83">
        <v>25000</v>
      </c>
      <c r="R10" s="83"/>
      <c r="S10" s="33">
        <v>28940</v>
      </c>
      <c r="T10" s="5"/>
      <c r="U10" s="14">
        <f t="shared" ref="U10:U24" si="6">C10*0.2</f>
        <v>6668</v>
      </c>
      <c r="V10" s="85">
        <f t="shared" ref="V10:V24" si="7">C10*0.06</f>
        <v>2000.3999999999999</v>
      </c>
      <c r="W10" s="6"/>
      <c r="X10" s="7"/>
      <c r="Y10" s="7"/>
      <c r="Z10" s="1"/>
      <c r="AA10" s="1"/>
      <c r="AB10" s="1"/>
      <c r="AC10" s="1"/>
      <c r="AD10" s="1"/>
      <c r="AE10" s="1"/>
      <c r="AF10" s="1"/>
      <c r="AG10" s="1"/>
      <c r="AH10" s="1"/>
      <c r="AI10" s="1"/>
      <c r="AJ10" s="1"/>
      <c r="AK10" s="1"/>
      <c r="AL10" s="1"/>
      <c r="AM10" s="1"/>
      <c r="AN10" s="1"/>
      <c r="AO10" s="1"/>
      <c r="AP10" s="1"/>
    </row>
    <row r="11" spans="1:42" ht="11.25">
      <c r="B11" s="49" t="s">
        <v>18</v>
      </c>
      <c r="C11" s="58">
        <v>33340</v>
      </c>
      <c r="D11" s="5"/>
      <c r="E11" s="5"/>
      <c r="F11" s="5"/>
      <c r="G11" s="5">
        <f t="shared" si="0"/>
        <v>624</v>
      </c>
      <c r="H11" s="5">
        <f t="shared" si="1"/>
        <v>31090</v>
      </c>
      <c r="I11" s="5">
        <f t="shared" si="2"/>
        <v>11575</v>
      </c>
      <c r="J11" s="5">
        <f t="shared" si="3"/>
        <v>4630</v>
      </c>
      <c r="K11" s="5">
        <f t="shared" si="4"/>
        <v>3470</v>
      </c>
      <c r="L11" s="5"/>
      <c r="M11" s="5">
        <f t="shared" si="5"/>
        <v>8000</v>
      </c>
      <c r="N11" s="5">
        <v>2663</v>
      </c>
      <c r="O11" s="5"/>
      <c r="P11" s="5"/>
      <c r="Q11" s="83">
        <v>25000</v>
      </c>
      <c r="R11" s="83"/>
      <c r="S11" s="33">
        <v>28940</v>
      </c>
      <c r="T11" s="5"/>
      <c r="U11" s="14">
        <f t="shared" si="6"/>
        <v>6668</v>
      </c>
      <c r="V11" s="85">
        <f t="shared" si="7"/>
        <v>2000.3999999999999</v>
      </c>
      <c r="W11" s="6"/>
      <c r="X11" s="7"/>
      <c r="Y11" s="7"/>
      <c r="Z11" s="1"/>
      <c r="AA11" s="1"/>
      <c r="AB11" s="1"/>
      <c r="AC11" s="1"/>
      <c r="AD11" s="1"/>
      <c r="AE11" s="1"/>
      <c r="AF11" s="1"/>
      <c r="AG11" s="1"/>
      <c r="AH11" s="1"/>
      <c r="AI11" s="1"/>
      <c r="AJ11" s="1"/>
      <c r="AK11" s="1"/>
      <c r="AL11" s="1"/>
      <c r="AM11" s="1"/>
      <c r="AN11" s="1"/>
      <c r="AO11" s="1"/>
      <c r="AP11" s="1"/>
    </row>
    <row r="12" spans="1:42" ht="11.25">
      <c r="B12" s="49" t="s">
        <v>20</v>
      </c>
      <c r="C12" s="58">
        <v>33340</v>
      </c>
      <c r="D12" s="5"/>
      <c r="E12" s="5"/>
      <c r="F12" s="5"/>
      <c r="G12" s="5">
        <f t="shared" si="0"/>
        <v>624</v>
      </c>
      <c r="H12" s="5">
        <f t="shared" si="1"/>
        <v>31090</v>
      </c>
      <c r="I12" s="5">
        <f t="shared" si="2"/>
        <v>11575</v>
      </c>
      <c r="J12" s="5">
        <f t="shared" si="3"/>
        <v>4630</v>
      </c>
      <c r="K12" s="5">
        <f t="shared" si="4"/>
        <v>3470</v>
      </c>
      <c r="L12" s="5"/>
      <c r="M12" s="5">
        <f t="shared" si="5"/>
        <v>8000</v>
      </c>
      <c r="N12" s="5"/>
      <c r="O12" s="5"/>
      <c r="P12" s="5"/>
      <c r="Q12" s="83">
        <v>25000</v>
      </c>
      <c r="R12" s="83"/>
      <c r="S12" s="33">
        <v>28940</v>
      </c>
      <c r="T12" s="5"/>
      <c r="U12" s="14">
        <f t="shared" si="6"/>
        <v>6668</v>
      </c>
      <c r="V12" s="85">
        <f t="shared" si="7"/>
        <v>2000.3999999999999</v>
      </c>
      <c r="W12" s="6"/>
      <c r="X12" s="6"/>
      <c r="Y12" s="6"/>
    </row>
    <row r="13" spans="1:42" ht="11.25">
      <c r="B13" s="49" t="s">
        <v>23</v>
      </c>
      <c r="C13" s="58">
        <v>33340</v>
      </c>
      <c r="D13" s="5"/>
      <c r="E13" s="5"/>
      <c r="F13" s="5"/>
      <c r="G13" s="5">
        <f t="shared" si="0"/>
        <v>624</v>
      </c>
      <c r="H13" s="5">
        <f t="shared" si="1"/>
        <v>31090</v>
      </c>
      <c r="I13" s="5">
        <f t="shared" si="2"/>
        <v>11575</v>
      </c>
      <c r="J13" s="5">
        <f t="shared" si="3"/>
        <v>4630</v>
      </c>
      <c r="K13" s="5">
        <f t="shared" si="4"/>
        <v>3470</v>
      </c>
      <c r="L13" s="5"/>
      <c r="M13" s="5">
        <f t="shared" si="5"/>
        <v>8000</v>
      </c>
      <c r="N13" s="5"/>
      <c r="O13" s="5">
        <f>48160*1</f>
        <v>48160</v>
      </c>
      <c r="P13" s="5"/>
      <c r="Q13" s="83">
        <v>40000</v>
      </c>
      <c r="R13" s="83"/>
      <c r="S13" s="33">
        <v>8000</v>
      </c>
      <c r="T13" s="5"/>
      <c r="U13" s="14">
        <f t="shared" si="6"/>
        <v>6668</v>
      </c>
      <c r="V13" s="85">
        <f t="shared" si="7"/>
        <v>2000.3999999999999</v>
      </c>
      <c r="W13" s="6"/>
      <c r="X13" s="6"/>
      <c r="Y13" s="6"/>
    </row>
    <row r="14" spans="1:42" ht="11.25">
      <c r="B14" s="49" t="s">
        <v>38</v>
      </c>
      <c r="C14" s="58">
        <v>33340</v>
      </c>
      <c r="D14" s="5"/>
      <c r="E14" s="5"/>
      <c r="F14" s="5"/>
      <c r="G14" s="5">
        <f t="shared" si="0"/>
        <v>624</v>
      </c>
      <c r="H14" s="5">
        <f t="shared" si="1"/>
        <v>31090</v>
      </c>
      <c r="I14" s="5">
        <f t="shared" si="2"/>
        <v>11575</v>
      </c>
      <c r="J14" s="5">
        <f t="shared" si="3"/>
        <v>4630</v>
      </c>
      <c r="K14" s="5">
        <f t="shared" si="4"/>
        <v>3470</v>
      </c>
      <c r="L14" s="5"/>
      <c r="M14" s="5">
        <f t="shared" si="5"/>
        <v>8000</v>
      </c>
      <c r="N14" s="5"/>
      <c r="O14" s="5"/>
      <c r="P14" s="5">
        <v>14878</v>
      </c>
      <c r="Q14" s="83">
        <v>0</v>
      </c>
      <c r="R14" s="83"/>
      <c r="S14" s="33">
        <v>28940</v>
      </c>
      <c r="T14" s="5"/>
      <c r="U14" s="14">
        <f t="shared" si="6"/>
        <v>6668</v>
      </c>
      <c r="V14" s="85">
        <f t="shared" si="7"/>
        <v>2000.3999999999999</v>
      </c>
      <c r="W14" s="6"/>
      <c r="X14" s="6"/>
      <c r="Y14" s="6"/>
    </row>
    <row r="15" spans="1:42" ht="11.25">
      <c r="B15" s="49" t="s">
        <v>41</v>
      </c>
      <c r="C15" s="58">
        <v>33340</v>
      </c>
      <c r="D15" s="5"/>
      <c r="E15" s="5"/>
      <c r="F15" s="5"/>
      <c r="G15" s="5">
        <f t="shared" si="0"/>
        <v>624</v>
      </c>
      <c r="H15" s="5">
        <f t="shared" si="1"/>
        <v>31090</v>
      </c>
      <c r="I15" s="5">
        <f t="shared" si="2"/>
        <v>11575</v>
      </c>
      <c r="J15" s="5">
        <f t="shared" si="3"/>
        <v>4630</v>
      </c>
      <c r="K15" s="5">
        <v>0</v>
      </c>
      <c r="L15" s="9" t="s">
        <v>59</v>
      </c>
      <c r="M15" s="5">
        <f t="shared" si="5"/>
        <v>8000</v>
      </c>
      <c r="N15" s="5">
        <f>10000*$A$1</f>
        <v>10000</v>
      </c>
      <c r="O15" s="5"/>
      <c r="P15" s="5"/>
      <c r="Q15" s="83">
        <v>-12333.5</v>
      </c>
      <c r="R15" s="89" t="s">
        <v>90</v>
      </c>
      <c r="S15" s="33">
        <v>57291.9</v>
      </c>
      <c r="T15" s="89" t="s">
        <v>87</v>
      </c>
      <c r="U15" s="14">
        <f t="shared" si="6"/>
        <v>6668</v>
      </c>
      <c r="V15" s="85">
        <f t="shared" si="7"/>
        <v>2000.3999999999999</v>
      </c>
      <c r="W15" s="6"/>
      <c r="X15" s="6"/>
      <c r="Y15" s="6"/>
    </row>
    <row r="16" spans="1:42" ht="11.25">
      <c r="B16" s="49" t="s">
        <v>43</v>
      </c>
      <c r="C16" s="58">
        <v>33340</v>
      </c>
      <c r="D16" s="5"/>
      <c r="E16" s="5"/>
      <c r="F16" s="5"/>
      <c r="G16" s="5">
        <f t="shared" si="0"/>
        <v>624</v>
      </c>
      <c r="H16" s="5">
        <f t="shared" si="1"/>
        <v>31090</v>
      </c>
      <c r="I16" s="5">
        <f t="shared" si="2"/>
        <v>11575</v>
      </c>
      <c r="J16" s="5">
        <f t="shared" si="3"/>
        <v>4630</v>
      </c>
      <c r="K16" s="5">
        <f t="shared" si="4"/>
        <v>3470</v>
      </c>
      <c r="L16" s="5"/>
      <c r="M16" s="5">
        <f t="shared" si="5"/>
        <v>8000</v>
      </c>
      <c r="N16" s="5">
        <f>2663*$A$1</f>
        <v>2663</v>
      </c>
      <c r="O16" s="5"/>
      <c r="P16" s="5"/>
      <c r="Q16" s="83">
        <v>25000</v>
      </c>
      <c r="R16" s="83"/>
      <c r="S16" s="33">
        <v>28940</v>
      </c>
      <c r="T16" s="5"/>
      <c r="U16" s="14">
        <f t="shared" si="6"/>
        <v>6668</v>
      </c>
      <c r="V16" s="85">
        <f t="shared" si="7"/>
        <v>2000.3999999999999</v>
      </c>
      <c r="W16" s="6"/>
      <c r="X16" s="6"/>
      <c r="Y16" s="6"/>
    </row>
    <row r="17" spans="2:42" ht="11.25">
      <c r="B17" s="49" t="s">
        <v>14</v>
      </c>
      <c r="C17" s="58">
        <v>33340</v>
      </c>
      <c r="D17" s="5"/>
      <c r="E17" s="5"/>
      <c r="F17" s="5"/>
      <c r="G17" s="5">
        <f>624*$A$1</f>
        <v>624</v>
      </c>
      <c r="H17" s="5">
        <f>31090*$A$1</f>
        <v>31090</v>
      </c>
      <c r="I17" s="5">
        <f>11575*$A$1</f>
        <v>11575</v>
      </c>
      <c r="J17" s="5">
        <f>4630*$A$1</f>
        <v>4630</v>
      </c>
      <c r="K17" s="5">
        <f>3470*$A$1</f>
        <v>3470</v>
      </c>
      <c r="L17" s="5"/>
      <c r="M17" s="5">
        <f>8000*$A$1</f>
        <v>8000</v>
      </c>
      <c r="N17" s="5"/>
      <c r="O17" s="5"/>
      <c r="P17" s="5"/>
      <c r="Q17" s="83">
        <v>25000</v>
      </c>
      <c r="R17" s="83"/>
      <c r="S17" s="33">
        <v>28000</v>
      </c>
      <c r="T17" s="5"/>
      <c r="U17" s="14">
        <f t="shared" si="6"/>
        <v>6668</v>
      </c>
      <c r="V17" s="85">
        <f t="shared" si="7"/>
        <v>2000.3999999999999</v>
      </c>
      <c r="W17" s="6"/>
      <c r="X17" s="7"/>
      <c r="Y17" s="7"/>
      <c r="Z17" s="1"/>
      <c r="AA17" s="1"/>
      <c r="AB17" s="1"/>
      <c r="AC17" s="1"/>
      <c r="AD17" s="1"/>
      <c r="AE17" s="1"/>
      <c r="AF17" s="1"/>
      <c r="AG17" s="1"/>
      <c r="AH17" s="1"/>
      <c r="AI17" s="1"/>
      <c r="AJ17" s="1"/>
      <c r="AK17" s="1"/>
      <c r="AL17" s="1"/>
      <c r="AM17" s="1"/>
      <c r="AN17" s="1"/>
      <c r="AO17" s="1"/>
      <c r="AP17" s="1"/>
    </row>
    <row r="18" spans="2:42" ht="11.25">
      <c r="B18" s="49" t="s">
        <v>17</v>
      </c>
      <c r="C18" s="58">
        <v>33340</v>
      </c>
      <c r="D18" s="5"/>
      <c r="E18" s="5"/>
      <c r="F18" s="5"/>
      <c r="G18" s="5">
        <f t="shared" si="0"/>
        <v>624</v>
      </c>
      <c r="H18" s="5">
        <f t="shared" si="1"/>
        <v>31090</v>
      </c>
      <c r="I18" s="5">
        <f t="shared" si="2"/>
        <v>11575</v>
      </c>
      <c r="J18" s="5">
        <f t="shared" si="3"/>
        <v>4630</v>
      </c>
      <c r="K18" s="5">
        <f t="shared" si="4"/>
        <v>3470</v>
      </c>
      <c r="L18" s="5"/>
      <c r="M18" s="5">
        <f t="shared" si="5"/>
        <v>8000</v>
      </c>
      <c r="N18" s="5"/>
      <c r="O18" s="8"/>
      <c r="P18" s="5"/>
      <c r="Q18" s="83">
        <v>25000</v>
      </c>
      <c r="R18" s="83"/>
      <c r="S18" s="33">
        <v>28940</v>
      </c>
      <c r="T18" s="5"/>
      <c r="U18" s="14">
        <f t="shared" si="6"/>
        <v>6668</v>
      </c>
      <c r="V18" s="85">
        <f t="shared" si="7"/>
        <v>2000.3999999999999</v>
      </c>
      <c r="W18" s="6"/>
      <c r="X18" s="7"/>
      <c r="Y18" s="7"/>
      <c r="Z18" s="1"/>
      <c r="AA18" s="1"/>
      <c r="AB18" s="1"/>
      <c r="AC18" s="1"/>
      <c r="AD18" s="1"/>
      <c r="AE18" s="1"/>
      <c r="AF18" s="1"/>
      <c r="AG18" s="1"/>
      <c r="AH18" s="1"/>
      <c r="AI18" s="1"/>
      <c r="AJ18" s="1"/>
      <c r="AK18" s="1"/>
      <c r="AL18" s="1"/>
      <c r="AM18" s="1"/>
      <c r="AN18" s="1"/>
      <c r="AO18" s="1"/>
      <c r="AP18" s="1"/>
    </row>
    <row r="19" spans="2:42" ht="11.25">
      <c r="B19" s="49" t="s">
        <v>19</v>
      </c>
      <c r="C19" s="58">
        <v>33340</v>
      </c>
      <c r="D19" s="5"/>
      <c r="E19" s="5"/>
      <c r="F19" s="5"/>
      <c r="G19" s="5">
        <f t="shared" si="0"/>
        <v>624</v>
      </c>
      <c r="H19" s="5">
        <f t="shared" si="1"/>
        <v>31090</v>
      </c>
      <c r="I19" s="5">
        <f t="shared" si="2"/>
        <v>11575</v>
      </c>
      <c r="J19" s="5">
        <f t="shared" si="3"/>
        <v>4630</v>
      </c>
      <c r="K19" s="5">
        <f t="shared" si="4"/>
        <v>3470</v>
      </c>
      <c r="L19" s="5"/>
      <c r="M19" s="5">
        <f t="shared" si="5"/>
        <v>8000</v>
      </c>
      <c r="N19" s="5"/>
      <c r="O19" s="5"/>
      <c r="P19" s="5"/>
      <c r="Q19" s="83">
        <v>25000</v>
      </c>
      <c r="R19" s="83"/>
      <c r="S19" s="33">
        <v>28324.87</v>
      </c>
      <c r="T19" s="5"/>
      <c r="U19" s="14">
        <f t="shared" si="6"/>
        <v>6668</v>
      </c>
      <c r="V19" s="85">
        <f t="shared" si="7"/>
        <v>2000.3999999999999</v>
      </c>
      <c r="W19" s="6"/>
      <c r="X19" s="6"/>
      <c r="Y19" s="6"/>
    </row>
    <row r="20" spans="2:42" ht="11.25">
      <c r="B20" s="49" t="s">
        <v>21</v>
      </c>
      <c r="C20" s="58">
        <v>33340</v>
      </c>
      <c r="D20" s="5"/>
      <c r="E20" s="5"/>
      <c r="F20" s="5"/>
      <c r="G20" s="5">
        <f t="shared" si="0"/>
        <v>624</v>
      </c>
      <c r="H20" s="5">
        <f t="shared" si="1"/>
        <v>31090</v>
      </c>
      <c r="I20" s="5">
        <f t="shared" si="2"/>
        <v>11575</v>
      </c>
      <c r="J20" s="5">
        <f t="shared" si="3"/>
        <v>4630</v>
      </c>
      <c r="K20" s="5">
        <f t="shared" si="4"/>
        <v>3470</v>
      </c>
      <c r="L20" s="5"/>
      <c r="M20" s="5">
        <f t="shared" si="5"/>
        <v>8000</v>
      </c>
      <c r="N20" s="5"/>
      <c r="O20" s="5"/>
      <c r="P20" s="5"/>
      <c r="Q20" s="83">
        <v>25000</v>
      </c>
      <c r="R20" s="83"/>
      <c r="S20" s="33">
        <v>28320</v>
      </c>
      <c r="T20" s="5"/>
      <c r="U20" s="14">
        <f t="shared" si="6"/>
        <v>6668</v>
      </c>
      <c r="V20" s="85">
        <f t="shared" si="7"/>
        <v>2000.3999999999999</v>
      </c>
      <c r="W20" s="6"/>
      <c r="X20" s="6"/>
      <c r="Y20" s="6"/>
    </row>
    <row r="21" spans="2:42" ht="11.25">
      <c r="B21" s="49" t="s">
        <v>24</v>
      </c>
      <c r="C21" s="58">
        <v>33340</v>
      </c>
      <c r="D21" s="5"/>
      <c r="E21" s="5"/>
      <c r="F21" s="5"/>
      <c r="G21" s="5">
        <f t="shared" si="0"/>
        <v>624</v>
      </c>
      <c r="H21" s="5">
        <f t="shared" si="1"/>
        <v>31090</v>
      </c>
      <c r="I21" s="5">
        <f t="shared" si="2"/>
        <v>11575</v>
      </c>
      <c r="J21" s="5">
        <f t="shared" si="3"/>
        <v>4630</v>
      </c>
      <c r="K21" s="5">
        <f t="shared" si="4"/>
        <v>3470</v>
      </c>
      <c r="L21" s="5"/>
      <c r="M21" s="5">
        <f t="shared" si="5"/>
        <v>8000</v>
      </c>
      <c r="N21" s="5">
        <v>4000</v>
      </c>
      <c r="O21" s="5"/>
      <c r="P21" s="5"/>
      <c r="Q21" s="83">
        <v>25000</v>
      </c>
      <c r="R21" s="83"/>
      <c r="S21" s="33">
        <v>28940</v>
      </c>
      <c r="T21" s="5"/>
      <c r="U21" s="14">
        <f t="shared" si="6"/>
        <v>6668</v>
      </c>
      <c r="V21" s="85">
        <f t="shared" si="7"/>
        <v>2000.3999999999999</v>
      </c>
      <c r="W21" s="6"/>
      <c r="X21" s="6"/>
      <c r="Y21" s="6"/>
    </row>
    <row r="22" spans="2:42" ht="11.25">
      <c r="B22" s="49" t="s">
        <v>39</v>
      </c>
      <c r="C22" s="58">
        <v>33340</v>
      </c>
      <c r="D22" s="5"/>
      <c r="E22" s="5"/>
      <c r="F22" s="5"/>
      <c r="G22" s="5">
        <f t="shared" si="0"/>
        <v>624</v>
      </c>
      <c r="H22" s="5">
        <f t="shared" si="1"/>
        <v>31090</v>
      </c>
      <c r="I22" s="5">
        <f t="shared" si="2"/>
        <v>11575</v>
      </c>
      <c r="J22" s="5">
        <f t="shared" si="3"/>
        <v>4630</v>
      </c>
      <c r="K22" s="5">
        <f t="shared" si="4"/>
        <v>3470</v>
      </c>
      <c r="L22" s="5"/>
      <c r="M22" s="5">
        <f t="shared" si="5"/>
        <v>8000</v>
      </c>
      <c r="N22" s="5"/>
      <c r="O22" s="5"/>
      <c r="P22" s="5"/>
      <c r="Q22" s="83">
        <v>0</v>
      </c>
      <c r="R22" s="83"/>
      <c r="S22" s="33">
        <v>8000</v>
      </c>
      <c r="T22" s="5"/>
      <c r="U22" s="14">
        <f t="shared" si="6"/>
        <v>6668</v>
      </c>
      <c r="V22" s="85">
        <f t="shared" si="7"/>
        <v>2000.3999999999999</v>
      </c>
      <c r="W22" s="6"/>
      <c r="X22" s="6"/>
      <c r="Y22" s="6"/>
    </row>
    <row r="23" spans="2:42" ht="11.25">
      <c r="B23" s="49" t="s">
        <v>42</v>
      </c>
      <c r="C23" s="58">
        <v>33340</v>
      </c>
      <c r="D23" s="5"/>
      <c r="E23" s="5"/>
      <c r="F23" s="5"/>
      <c r="G23" s="5">
        <f t="shared" si="0"/>
        <v>624</v>
      </c>
      <c r="H23" s="5">
        <f t="shared" si="1"/>
        <v>31090</v>
      </c>
      <c r="I23" s="5">
        <f t="shared" si="2"/>
        <v>11575</v>
      </c>
      <c r="J23" s="5">
        <f t="shared" si="3"/>
        <v>4630</v>
      </c>
      <c r="K23" s="5">
        <f t="shared" si="4"/>
        <v>3470</v>
      </c>
      <c r="L23" s="5"/>
      <c r="M23" s="5">
        <f t="shared" si="5"/>
        <v>8000</v>
      </c>
      <c r="N23" s="5"/>
      <c r="O23" s="5"/>
      <c r="P23" s="5"/>
      <c r="Q23" s="83">
        <v>25000</v>
      </c>
      <c r="R23" s="83"/>
      <c r="S23" s="33">
        <v>28940</v>
      </c>
      <c r="T23" s="5"/>
      <c r="U23" s="14">
        <f t="shared" si="6"/>
        <v>6668</v>
      </c>
      <c r="V23" s="85">
        <f t="shared" si="7"/>
        <v>2000.3999999999999</v>
      </c>
      <c r="W23" s="6"/>
      <c r="X23" s="6"/>
      <c r="Y23" s="6"/>
    </row>
    <row r="24" spans="2:42" ht="11.25">
      <c r="B24" s="49" t="s">
        <v>44</v>
      </c>
      <c r="C24" s="58">
        <v>33340</v>
      </c>
      <c r="D24" s="5"/>
      <c r="E24" s="5"/>
      <c r="F24" s="5"/>
      <c r="G24" s="5">
        <f t="shared" si="0"/>
        <v>624</v>
      </c>
      <c r="H24" s="5">
        <f t="shared" si="1"/>
        <v>31090</v>
      </c>
      <c r="I24" s="5">
        <f t="shared" si="2"/>
        <v>11575</v>
      </c>
      <c r="J24" s="5">
        <f t="shared" si="3"/>
        <v>4630</v>
      </c>
      <c r="K24" s="5">
        <f t="shared" si="4"/>
        <v>3470</v>
      </c>
      <c r="L24" s="5"/>
      <c r="M24" s="5">
        <f t="shared" si="5"/>
        <v>8000</v>
      </c>
      <c r="N24" s="5"/>
      <c r="O24" s="5"/>
      <c r="P24" s="5"/>
      <c r="Q24" s="83">
        <v>50000</v>
      </c>
      <c r="R24" s="83"/>
      <c r="S24" s="33">
        <v>49311.66</v>
      </c>
      <c r="T24" s="5"/>
      <c r="U24" s="14">
        <f t="shared" si="6"/>
        <v>6668</v>
      </c>
      <c r="V24" s="85">
        <f t="shared" si="7"/>
        <v>2000.3999999999999</v>
      </c>
      <c r="W24" s="6"/>
      <c r="X24" s="6"/>
      <c r="Y24" s="6"/>
    </row>
    <row r="25" spans="2:42" ht="11.25">
      <c r="B25" s="50" t="s">
        <v>2</v>
      </c>
      <c r="C25" s="58"/>
      <c r="D25" s="5"/>
      <c r="E25" s="5"/>
      <c r="F25" s="5"/>
      <c r="G25" s="5"/>
      <c r="H25" s="5"/>
      <c r="I25" s="5"/>
      <c r="J25" s="5"/>
      <c r="K25" s="5"/>
      <c r="L25" s="5"/>
      <c r="M25" s="5"/>
      <c r="N25" s="5"/>
      <c r="O25" s="5"/>
      <c r="P25" s="5"/>
      <c r="Q25" s="33"/>
      <c r="R25" s="33"/>
      <c r="S25" s="33"/>
      <c r="T25" s="5"/>
      <c r="U25" s="14"/>
      <c r="V25" s="85"/>
      <c r="W25" s="6"/>
      <c r="X25" s="6"/>
      <c r="Y25" s="6"/>
    </row>
    <row r="26" spans="2:42" ht="11.25">
      <c r="B26" s="49" t="s">
        <v>15</v>
      </c>
      <c r="C26" s="58">
        <v>33340</v>
      </c>
      <c r="D26" s="5"/>
      <c r="E26" s="5"/>
      <c r="F26" s="5"/>
      <c r="G26" s="5">
        <f t="shared" si="0"/>
        <v>624</v>
      </c>
      <c r="H26" s="5">
        <f t="shared" si="1"/>
        <v>31090</v>
      </c>
      <c r="I26" s="5">
        <f t="shared" si="2"/>
        <v>11575</v>
      </c>
      <c r="J26" s="5">
        <f t="shared" si="3"/>
        <v>4630</v>
      </c>
      <c r="K26" s="5">
        <f t="shared" si="4"/>
        <v>3470</v>
      </c>
      <c r="L26" s="5"/>
      <c r="M26" s="5">
        <f t="shared" si="5"/>
        <v>8000</v>
      </c>
      <c r="N26" s="5"/>
      <c r="O26" s="8"/>
      <c r="P26" s="5">
        <f>4650*$A$1</f>
        <v>4650</v>
      </c>
      <c r="Q26" s="33">
        <v>25000</v>
      </c>
      <c r="R26" s="33"/>
      <c r="S26" s="33">
        <v>28900</v>
      </c>
      <c r="T26" s="5"/>
      <c r="U26" s="14">
        <f t="shared" ref="U26:U30" si="8">C26*0.2</f>
        <v>6668</v>
      </c>
      <c r="V26" s="85">
        <f t="shared" ref="V26:V30" si="9">C26*0.06</f>
        <v>2000.3999999999999</v>
      </c>
      <c r="W26" s="6"/>
      <c r="X26" s="6"/>
      <c r="Y26" s="6"/>
    </row>
    <row r="27" spans="2:42" ht="11.25">
      <c r="B27" s="49" t="s">
        <v>47</v>
      </c>
      <c r="C27" s="58">
        <v>33340</v>
      </c>
      <c r="D27" s="5"/>
      <c r="E27" s="5"/>
      <c r="F27" s="5"/>
      <c r="G27" s="5">
        <f t="shared" si="0"/>
        <v>624</v>
      </c>
      <c r="H27" s="5">
        <f t="shared" si="1"/>
        <v>31090</v>
      </c>
      <c r="I27" s="5">
        <f t="shared" si="2"/>
        <v>11575</v>
      </c>
      <c r="J27" s="5">
        <f t="shared" si="3"/>
        <v>4630</v>
      </c>
      <c r="K27" s="5">
        <f t="shared" si="4"/>
        <v>3470</v>
      </c>
      <c r="L27" s="5"/>
      <c r="M27" s="5">
        <f t="shared" si="5"/>
        <v>8000</v>
      </c>
      <c r="N27" s="5">
        <f>4000*$A$1</f>
        <v>4000</v>
      </c>
      <c r="O27" s="5"/>
      <c r="P27" s="5"/>
      <c r="Q27" s="33">
        <v>25000</v>
      </c>
      <c r="R27" s="33"/>
      <c r="S27" s="33">
        <v>28940</v>
      </c>
      <c r="T27" s="5"/>
      <c r="U27" s="14">
        <f t="shared" si="8"/>
        <v>6668</v>
      </c>
      <c r="V27" s="85">
        <f t="shared" si="9"/>
        <v>2000.3999999999999</v>
      </c>
      <c r="W27" s="6"/>
      <c r="X27" s="6"/>
      <c r="Y27" s="6"/>
    </row>
    <row r="28" spans="2:42" ht="11.25">
      <c r="B28" s="49" t="s">
        <v>22</v>
      </c>
      <c r="C28" s="58">
        <v>33340</v>
      </c>
      <c r="D28" s="5"/>
      <c r="E28" s="5"/>
      <c r="F28" s="5"/>
      <c r="G28" s="5">
        <f t="shared" si="0"/>
        <v>624</v>
      </c>
      <c r="H28" s="5">
        <f t="shared" si="1"/>
        <v>31090</v>
      </c>
      <c r="I28" s="5">
        <f t="shared" si="2"/>
        <v>11575</v>
      </c>
      <c r="J28" s="5">
        <f t="shared" si="3"/>
        <v>4630</v>
      </c>
      <c r="K28" s="5">
        <f t="shared" si="4"/>
        <v>3470</v>
      </c>
      <c r="L28" s="5"/>
      <c r="M28" s="5">
        <f t="shared" si="5"/>
        <v>8000</v>
      </c>
      <c r="N28" s="5"/>
      <c r="O28" s="5"/>
      <c r="P28" s="5"/>
      <c r="Q28" s="33">
        <v>25000</v>
      </c>
      <c r="R28" s="33"/>
      <c r="S28" s="33">
        <v>28940</v>
      </c>
      <c r="T28" s="5"/>
      <c r="U28" s="14">
        <f t="shared" si="8"/>
        <v>6668</v>
      </c>
      <c r="V28" s="85">
        <f t="shared" si="9"/>
        <v>2000.3999999999999</v>
      </c>
      <c r="W28" s="6"/>
      <c r="X28" s="6"/>
      <c r="Y28" s="6"/>
    </row>
    <row r="29" spans="2:42" ht="11.25">
      <c r="B29" s="49" t="s">
        <v>36</v>
      </c>
      <c r="C29" s="58">
        <v>33340</v>
      </c>
      <c r="D29" s="5"/>
      <c r="E29" s="5"/>
      <c r="F29" s="5"/>
      <c r="G29" s="5">
        <f t="shared" si="0"/>
        <v>624</v>
      </c>
      <c r="H29" s="5">
        <f t="shared" si="1"/>
        <v>31090</v>
      </c>
      <c r="I29" s="5">
        <f t="shared" si="2"/>
        <v>11575</v>
      </c>
      <c r="J29" s="5">
        <f t="shared" si="3"/>
        <v>4630</v>
      </c>
      <c r="K29" s="5">
        <f t="shared" si="4"/>
        <v>3470</v>
      </c>
      <c r="L29" s="5"/>
      <c r="M29" s="5">
        <f t="shared" si="5"/>
        <v>8000</v>
      </c>
      <c r="N29" s="5"/>
      <c r="O29" s="5">
        <f>15050*$A$1</f>
        <v>15050</v>
      </c>
      <c r="P29" s="5"/>
      <c r="Q29" s="83">
        <v>35000</v>
      </c>
      <c r="R29" s="83"/>
      <c r="S29" s="33">
        <v>28940</v>
      </c>
      <c r="T29" s="5"/>
      <c r="U29" s="14">
        <f t="shared" si="8"/>
        <v>6668</v>
      </c>
      <c r="V29" s="85">
        <f t="shared" si="9"/>
        <v>2000.3999999999999</v>
      </c>
      <c r="W29" s="6"/>
      <c r="X29" s="6"/>
      <c r="Y29" s="6"/>
    </row>
    <row r="30" spans="2:42" ht="11.25">
      <c r="B30" s="49" t="s">
        <v>37</v>
      </c>
      <c r="C30" s="58">
        <v>33340</v>
      </c>
      <c r="D30" s="5"/>
      <c r="E30" s="5"/>
      <c r="F30" s="5"/>
      <c r="G30" s="5">
        <f t="shared" si="0"/>
        <v>624</v>
      </c>
      <c r="H30" s="5">
        <f t="shared" si="1"/>
        <v>31090</v>
      </c>
      <c r="I30" s="5">
        <f t="shared" si="2"/>
        <v>11575</v>
      </c>
      <c r="J30" s="5">
        <f t="shared" si="3"/>
        <v>4630</v>
      </c>
      <c r="K30" s="5">
        <f t="shared" si="4"/>
        <v>3470</v>
      </c>
      <c r="L30" s="5"/>
      <c r="M30" s="5">
        <f t="shared" si="5"/>
        <v>8000</v>
      </c>
      <c r="N30" s="5">
        <f>2663*$A$1</f>
        <v>2663</v>
      </c>
      <c r="O30" s="5"/>
      <c r="P30" s="5"/>
      <c r="Q30" s="33">
        <v>25000</v>
      </c>
      <c r="R30" s="33"/>
      <c r="S30" s="33">
        <v>28940</v>
      </c>
      <c r="T30" s="5"/>
      <c r="U30" s="14">
        <f t="shared" si="8"/>
        <v>6668</v>
      </c>
      <c r="V30" s="85">
        <f t="shared" si="9"/>
        <v>2000.3999999999999</v>
      </c>
      <c r="W30" s="6"/>
      <c r="X30" s="6"/>
      <c r="Y30" s="6"/>
    </row>
    <row r="31" spans="2:42" ht="11.25">
      <c r="B31" s="50" t="s">
        <v>4</v>
      </c>
      <c r="C31" s="58"/>
      <c r="D31" s="5"/>
      <c r="E31" s="5"/>
      <c r="F31" s="5"/>
      <c r="G31" s="5"/>
      <c r="H31" s="5"/>
      <c r="I31" s="5"/>
      <c r="J31" s="5"/>
      <c r="K31" s="5"/>
      <c r="L31" s="5"/>
      <c r="M31" s="5"/>
      <c r="N31" s="5"/>
      <c r="O31" s="5"/>
      <c r="P31" s="5"/>
      <c r="Q31" s="33"/>
      <c r="R31" s="33"/>
      <c r="S31" s="33"/>
      <c r="T31" s="5"/>
      <c r="U31" s="14"/>
      <c r="V31" s="85"/>
      <c r="W31" s="6"/>
      <c r="X31" s="6"/>
      <c r="Y31" s="6"/>
    </row>
    <row r="32" spans="2:42" ht="11.25">
      <c r="B32" s="49" t="s">
        <v>25</v>
      </c>
      <c r="C32" s="58">
        <v>33340</v>
      </c>
      <c r="D32" s="5"/>
      <c r="E32" s="5"/>
      <c r="F32" s="5"/>
      <c r="G32" s="5">
        <f t="shared" si="0"/>
        <v>624</v>
      </c>
      <c r="H32" s="5">
        <f t="shared" si="1"/>
        <v>31090</v>
      </c>
      <c r="I32" s="5">
        <f t="shared" si="2"/>
        <v>11575</v>
      </c>
      <c r="J32" s="5">
        <f t="shared" si="3"/>
        <v>4630</v>
      </c>
      <c r="K32" s="5">
        <f t="shared" si="4"/>
        <v>3470</v>
      </c>
      <c r="L32" s="5"/>
      <c r="M32" s="5">
        <f t="shared" si="5"/>
        <v>8000</v>
      </c>
      <c r="N32" s="5"/>
      <c r="O32" s="5">
        <f>9030*$A$1</f>
        <v>9030</v>
      </c>
      <c r="P32" s="5"/>
      <c r="Q32" s="33">
        <v>30000</v>
      </c>
      <c r="R32" s="33"/>
      <c r="S32" s="33">
        <v>28300</v>
      </c>
      <c r="T32" s="5"/>
      <c r="U32" s="14">
        <f t="shared" ref="U32:U34" si="10">C32*0.2</f>
        <v>6668</v>
      </c>
      <c r="V32" s="85">
        <f t="shared" ref="V32:V34" si="11">C32*0.06</f>
        <v>2000.3999999999999</v>
      </c>
      <c r="W32" s="6"/>
      <c r="X32" s="6"/>
      <c r="Y32" s="6"/>
    </row>
    <row r="33" spans="2:25" ht="11.25">
      <c r="B33" s="49" t="s">
        <v>26</v>
      </c>
      <c r="C33" s="58">
        <v>33340</v>
      </c>
      <c r="D33" s="5"/>
      <c r="E33" s="5"/>
      <c r="F33" s="5"/>
      <c r="G33" s="5">
        <f t="shared" si="0"/>
        <v>624</v>
      </c>
      <c r="H33" s="5">
        <f t="shared" si="1"/>
        <v>31090</v>
      </c>
      <c r="I33" s="5">
        <f t="shared" si="2"/>
        <v>11575</v>
      </c>
      <c r="J33" s="5">
        <f t="shared" si="3"/>
        <v>4630</v>
      </c>
      <c r="K33" s="5">
        <f t="shared" si="4"/>
        <v>3470</v>
      </c>
      <c r="L33" s="5"/>
      <c r="M33" s="5">
        <f t="shared" si="5"/>
        <v>8000</v>
      </c>
      <c r="N33" s="19">
        <f>2663*$A$1</f>
        <v>2663</v>
      </c>
      <c r="O33" s="32"/>
      <c r="P33" s="19">
        <f>2790*$A$1</f>
        <v>2790</v>
      </c>
      <c r="Q33" s="33">
        <v>25000</v>
      </c>
      <c r="R33" s="33"/>
      <c r="S33" s="33">
        <v>27368.61</v>
      </c>
      <c r="T33" s="5"/>
      <c r="U33" s="14">
        <f t="shared" si="10"/>
        <v>6668</v>
      </c>
      <c r="V33" s="85">
        <f t="shared" si="11"/>
        <v>2000.3999999999999</v>
      </c>
      <c r="W33" s="6"/>
      <c r="X33" s="6"/>
      <c r="Y33" s="6"/>
    </row>
    <row r="34" spans="2:25" ht="11.25">
      <c r="B34" s="49" t="s">
        <v>27</v>
      </c>
      <c r="C34" s="58">
        <v>33340</v>
      </c>
      <c r="D34" s="5"/>
      <c r="E34" s="5"/>
      <c r="F34" s="5"/>
      <c r="G34" s="5">
        <f t="shared" si="0"/>
        <v>624</v>
      </c>
      <c r="H34" s="5">
        <f t="shared" si="1"/>
        <v>31090</v>
      </c>
      <c r="I34" s="5">
        <f t="shared" si="2"/>
        <v>11575</v>
      </c>
      <c r="J34" s="5">
        <f t="shared" si="3"/>
        <v>4630</v>
      </c>
      <c r="K34" s="5">
        <f t="shared" si="4"/>
        <v>3470</v>
      </c>
      <c r="L34" s="5"/>
      <c r="M34" s="5">
        <f t="shared" si="5"/>
        <v>8000</v>
      </c>
      <c r="N34" s="5"/>
      <c r="O34" s="5"/>
      <c r="P34" s="5"/>
      <c r="Q34" s="33">
        <v>25000</v>
      </c>
      <c r="R34" s="33"/>
      <c r="S34" s="33">
        <v>28000</v>
      </c>
      <c r="T34" s="5"/>
      <c r="U34" s="14">
        <f t="shared" si="10"/>
        <v>6668</v>
      </c>
      <c r="V34" s="85">
        <f t="shared" si="11"/>
        <v>2000.3999999999999</v>
      </c>
      <c r="W34" s="6"/>
      <c r="X34" s="6"/>
      <c r="Y34" s="6"/>
    </row>
    <row r="35" spans="2:25" ht="11.25">
      <c r="B35" s="51" t="s">
        <v>6</v>
      </c>
      <c r="C35" s="58"/>
      <c r="D35" s="5"/>
      <c r="E35" s="5"/>
      <c r="F35" s="5"/>
      <c r="G35" s="5"/>
      <c r="H35" s="5"/>
      <c r="I35" s="5"/>
      <c r="J35" s="5"/>
      <c r="K35" s="5"/>
      <c r="L35" s="5"/>
      <c r="M35" s="5"/>
      <c r="N35" s="5"/>
      <c r="O35" s="5"/>
      <c r="P35" s="5"/>
      <c r="Q35" s="33"/>
      <c r="R35" s="33"/>
      <c r="S35" s="33"/>
      <c r="T35" s="5"/>
      <c r="U35" s="14"/>
      <c r="V35" s="85"/>
      <c r="W35" s="6"/>
      <c r="X35" s="6"/>
      <c r="Y35" s="6"/>
    </row>
    <row r="36" spans="2:25" ht="11.25">
      <c r="B36" s="49" t="s">
        <v>7</v>
      </c>
      <c r="C36" s="58">
        <v>33340</v>
      </c>
      <c r="D36" s="5"/>
      <c r="E36" s="5"/>
      <c r="F36" s="5"/>
      <c r="G36" s="5">
        <f t="shared" si="0"/>
        <v>624</v>
      </c>
      <c r="H36" s="5">
        <f t="shared" si="1"/>
        <v>31090</v>
      </c>
      <c r="I36" s="5">
        <f t="shared" si="2"/>
        <v>11575</v>
      </c>
      <c r="J36" s="5">
        <f t="shared" si="3"/>
        <v>4630</v>
      </c>
      <c r="K36" s="5">
        <f t="shared" si="4"/>
        <v>3470</v>
      </c>
      <c r="L36" s="5"/>
      <c r="M36" s="5">
        <f t="shared" si="5"/>
        <v>8000</v>
      </c>
      <c r="N36" s="5"/>
      <c r="O36" s="5">
        <f>6017*$A$1</f>
        <v>6017</v>
      </c>
      <c r="P36" s="5"/>
      <c r="Q36" s="33">
        <v>25000</v>
      </c>
      <c r="R36" s="33"/>
      <c r="S36" s="33">
        <v>28284.720000000001</v>
      </c>
      <c r="T36" s="5"/>
      <c r="U36" s="14">
        <f t="shared" ref="U36:U37" si="12">C36*0.2</f>
        <v>6668</v>
      </c>
      <c r="V36" s="85">
        <f t="shared" ref="V36:V37" si="13">C36*0.06</f>
        <v>2000.3999999999999</v>
      </c>
      <c r="W36" s="6"/>
      <c r="X36" s="6"/>
      <c r="Y36" s="6"/>
    </row>
    <row r="37" spans="2:25" ht="11.25">
      <c r="B37" s="49" t="s">
        <v>31</v>
      </c>
      <c r="C37" s="58">
        <v>33340</v>
      </c>
      <c r="D37" s="5"/>
      <c r="E37" s="5"/>
      <c r="F37" s="5"/>
      <c r="G37" s="5">
        <f t="shared" si="0"/>
        <v>624</v>
      </c>
      <c r="H37" s="5">
        <f t="shared" si="1"/>
        <v>31090</v>
      </c>
      <c r="I37" s="5">
        <f t="shared" si="2"/>
        <v>11575</v>
      </c>
      <c r="J37" s="5">
        <f t="shared" si="3"/>
        <v>4630</v>
      </c>
      <c r="K37" s="5">
        <f t="shared" si="4"/>
        <v>3470</v>
      </c>
      <c r="L37" s="5"/>
      <c r="M37" s="5">
        <f t="shared" si="5"/>
        <v>8000</v>
      </c>
      <c r="N37" s="19">
        <f>2663*$A$1</f>
        <v>2663</v>
      </c>
      <c r="O37" s="32"/>
      <c r="P37" s="19">
        <f>1859*$A$1</f>
        <v>1859</v>
      </c>
      <c r="Q37" s="33">
        <v>25000</v>
      </c>
      <c r="R37" s="33"/>
      <c r="S37" s="33">
        <v>28940</v>
      </c>
      <c r="T37" s="5"/>
      <c r="U37" s="14">
        <f t="shared" si="12"/>
        <v>6668</v>
      </c>
      <c r="V37" s="85">
        <f t="shared" si="13"/>
        <v>2000.3999999999999</v>
      </c>
      <c r="W37" s="6"/>
      <c r="X37" s="6"/>
      <c r="Y37" s="6"/>
    </row>
    <row r="38" spans="2:25" ht="11.25">
      <c r="B38" s="50" t="s">
        <v>1</v>
      </c>
      <c r="C38" s="58"/>
      <c r="D38" s="5"/>
      <c r="E38" s="5"/>
      <c r="F38" s="5"/>
      <c r="G38" s="5"/>
      <c r="H38" s="5"/>
      <c r="I38" s="5"/>
      <c r="J38" s="5"/>
      <c r="K38" s="5"/>
      <c r="L38" s="5"/>
      <c r="M38" s="5"/>
      <c r="N38" s="19"/>
      <c r="O38" s="19"/>
      <c r="P38" s="19"/>
      <c r="Q38" s="33"/>
      <c r="R38" s="33"/>
      <c r="S38" s="33"/>
      <c r="T38" s="5"/>
      <c r="U38" s="14"/>
      <c r="V38" s="85"/>
      <c r="W38" s="6"/>
      <c r="X38" s="6"/>
      <c r="Y38" s="6"/>
    </row>
    <row r="39" spans="2:25" ht="11.25">
      <c r="B39" s="49" t="s">
        <v>34</v>
      </c>
      <c r="C39" s="58">
        <v>33340</v>
      </c>
      <c r="D39" s="5"/>
      <c r="E39" s="5"/>
      <c r="F39" s="5"/>
      <c r="G39" s="5">
        <f t="shared" si="0"/>
        <v>624</v>
      </c>
      <c r="H39" s="5">
        <f t="shared" si="1"/>
        <v>31090</v>
      </c>
      <c r="I39" s="5">
        <f t="shared" si="2"/>
        <v>11575</v>
      </c>
      <c r="J39" s="5">
        <f t="shared" si="3"/>
        <v>4630</v>
      </c>
      <c r="K39" s="5">
        <f t="shared" si="4"/>
        <v>3470</v>
      </c>
      <c r="L39" s="5"/>
      <c r="M39" s="5">
        <f t="shared" si="5"/>
        <v>8000</v>
      </c>
      <c r="N39" s="19"/>
      <c r="O39" s="32"/>
      <c r="P39" s="19">
        <f>1859*$A$1</f>
        <v>1859</v>
      </c>
      <c r="Q39" s="33">
        <v>0</v>
      </c>
      <c r="R39" s="33"/>
      <c r="S39" s="33">
        <v>8000</v>
      </c>
      <c r="T39" s="5"/>
      <c r="U39" s="14">
        <f t="shared" ref="U39:U40" si="14">C39*0.2</f>
        <v>6668</v>
      </c>
      <c r="V39" s="85">
        <f t="shared" ref="V39:V40" si="15">C39*0.06</f>
        <v>2000.3999999999999</v>
      </c>
      <c r="W39" s="6"/>
      <c r="X39" s="6"/>
      <c r="Y39" s="6"/>
    </row>
    <row r="40" spans="2:25" ht="11.25">
      <c r="B40" s="49" t="s">
        <v>33</v>
      </c>
      <c r="C40" s="58">
        <v>33340</v>
      </c>
      <c r="D40" s="5"/>
      <c r="E40" s="5"/>
      <c r="F40" s="5"/>
      <c r="G40" s="5">
        <f t="shared" si="0"/>
        <v>624</v>
      </c>
      <c r="H40" s="5">
        <f t="shared" si="1"/>
        <v>31090</v>
      </c>
      <c r="I40" s="5">
        <f t="shared" si="2"/>
        <v>11575</v>
      </c>
      <c r="J40" s="5">
        <f t="shared" si="3"/>
        <v>4630</v>
      </c>
      <c r="K40" s="5">
        <f t="shared" si="4"/>
        <v>3470</v>
      </c>
      <c r="L40" s="5"/>
      <c r="M40" s="5">
        <f t="shared" si="5"/>
        <v>8000</v>
      </c>
      <c r="N40" s="19"/>
      <c r="O40" s="19">
        <f>6017*$A$1</f>
        <v>6017</v>
      </c>
      <c r="P40" s="19"/>
      <c r="Q40" s="33">
        <v>25000</v>
      </c>
      <c r="R40" s="33"/>
      <c r="S40" s="33">
        <v>28940</v>
      </c>
      <c r="T40" s="5"/>
      <c r="U40" s="14">
        <f t="shared" si="14"/>
        <v>6668</v>
      </c>
      <c r="V40" s="85">
        <f t="shared" si="15"/>
        <v>2000.3999999999999</v>
      </c>
      <c r="W40" s="6"/>
      <c r="X40" s="6"/>
      <c r="Y40" s="6"/>
    </row>
    <row r="41" spans="2:25" ht="11.25">
      <c r="B41" s="52" t="s">
        <v>13</v>
      </c>
      <c r="C41" s="58"/>
      <c r="D41" s="5"/>
      <c r="E41" s="5"/>
      <c r="F41" s="5"/>
      <c r="G41" s="5"/>
      <c r="H41" s="5"/>
      <c r="I41" s="5"/>
      <c r="J41" s="5"/>
      <c r="K41" s="5"/>
      <c r="L41" s="5"/>
      <c r="M41" s="5"/>
      <c r="N41" s="19"/>
      <c r="O41" s="19"/>
      <c r="P41" s="19"/>
      <c r="Q41" s="33"/>
      <c r="R41" s="33"/>
      <c r="S41" s="33"/>
      <c r="T41" s="5"/>
      <c r="U41" s="14"/>
      <c r="V41" s="85"/>
      <c r="W41" s="6"/>
      <c r="X41" s="6"/>
      <c r="Y41" s="6"/>
    </row>
    <row r="42" spans="2:25" ht="11.25">
      <c r="B42" s="49" t="s">
        <v>28</v>
      </c>
      <c r="C42" s="58">
        <v>33340</v>
      </c>
      <c r="D42" s="5"/>
      <c r="E42" s="5"/>
      <c r="F42" s="5"/>
      <c r="G42" s="5">
        <f t="shared" si="0"/>
        <v>624</v>
      </c>
      <c r="H42" s="5">
        <f t="shared" si="1"/>
        <v>31090</v>
      </c>
      <c r="I42" s="5">
        <f t="shared" si="2"/>
        <v>11575</v>
      </c>
      <c r="J42" s="5">
        <f t="shared" si="3"/>
        <v>4630</v>
      </c>
      <c r="K42" s="5">
        <f t="shared" si="4"/>
        <v>3470</v>
      </c>
      <c r="L42" s="5"/>
      <c r="M42" s="5">
        <f t="shared" si="5"/>
        <v>8000</v>
      </c>
      <c r="N42" s="19"/>
      <c r="O42" s="19">
        <f>6017*$A$1</f>
        <v>6017</v>
      </c>
      <c r="P42" s="19"/>
      <c r="Q42" s="33">
        <v>25000</v>
      </c>
      <c r="R42" s="33"/>
      <c r="S42" s="33">
        <v>28940</v>
      </c>
      <c r="T42" s="5"/>
      <c r="U42" s="14">
        <f t="shared" ref="U42:U43" si="16">C42*0.2</f>
        <v>6668</v>
      </c>
      <c r="V42" s="85">
        <f t="shared" ref="V42:V43" si="17">C42*0.06</f>
        <v>2000.3999999999999</v>
      </c>
      <c r="W42" s="6"/>
      <c r="X42" s="6"/>
      <c r="Y42" s="6"/>
    </row>
    <row r="43" spans="2:25" ht="11.25">
      <c r="B43" s="49" t="s">
        <v>29</v>
      </c>
      <c r="C43" s="58">
        <v>33340</v>
      </c>
      <c r="D43" s="5"/>
      <c r="E43" s="5"/>
      <c r="F43" s="5"/>
      <c r="G43" s="5">
        <f t="shared" si="0"/>
        <v>624</v>
      </c>
      <c r="H43" s="5">
        <f t="shared" si="1"/>
        <v>31090</v>
      </c>
      <c r="I43" s="5">
        <f t="shared" si="2"/>
        <v>11575</v>
      </c>
      <c r="J43" s="5">
        <f t="shared" si="3"/>
        <v>4630</v>
      </c>
      <c r="K43" s="5">
        <f t="shared" si="4"/>
        <v>3470</v>
      </c>
      <c r="L43" s="5"/>
      <c r="M43" s="5">
        <f t="shared" si="5"/>
        <v>8000</v>
      </c>
      <c r="N43" s="19">
        <f>2663*$A$1</f>
        <v>2663</v>
      </c>
      <c r="O43" s="32"/>
      <c r="P43" s="19">
        <f>1859*$A$1</f>
        <v>1859</v>
      </c>
      <c r="Q43" s="33">
        <v>25000</v>
      </c>
      <c r="R43" s="33"/>
      <c r="S43" s="33">
        <v>28940</v>
      </c>
      <c r="T43" s="5"/>
      <c r="U43" s="14">
        <f t="shared" si="16"/>
        <v>6668</v>
      </c>
      <c r="V43" s="85">
        <f t="shared" si="17"/>
        <v>2000.3999999999999</v>
      </c>
      <c r="W43" s="6"/>
      <c r="X43" s="6"/>
      <c r="Y43" s="6"/>
    </row>
    <row r="44" spans="2:25" ht="11.25">
      <c r="B44" s="53" t="s">
        <v>5</v>
      </c>
      <c r="C44" s="58"/>
      <c r="D44" s="5"/>
      <c r="E44" s="5"/>
      <c r="F44" s="5"/>
      <c r="G44" s="5"/>
      <c r="H44" s="5"/>
      <c r="I44" s="5"/>
      <c r="J44" s="5"/>
      <c r="K44" s="5"/>
      <c r="L44" s="5"/>
      <c r="M44" s="5"/>
      <c r="N44" s="5"/>
      <c r="O44" s="5"/>
      <c r="P44" s="5"/>
      <c r="Q44" s="33"/>
      <c r="R44" s="33"/>
      <c r="S44" s="33"/>
      <c r="T44" s="5"/>
      <c r="U44" s="14"/>
      <c r="V44" s="85"/>
      <c r="W44" s="6"/>
      <c r="X44" s="6"/>
      <c r="Y44" s="6"/>
    </row>
    <row r="45" spans="2:25" ht="11.25">
      <c r="B45" s="49" t="s">
        <v>35</v>
      </c>
      <c r="C45" s="58">
        <v>33340</v>
      </c>
      <c r="D45" s="5"/>
      <c r="E45" s="5"/>
      <c r="F45" s="5"/>
      <c r="G45" s="5">
        <f t="shared" si="0"/>
        <v>624</v>
      </c>
      <c r="H45" s="5">
        <f t="shared" si="1"/>
        <v>31090</v>
      </c>
      <c r="I45" s="5">
        <f t="shared" si="2"/>
        <v>11575</v>
      </c>
      <c r="J45" s="5">
        <f t="shared" si="3"/>
        <v>4630</v>
      </c>
      <c r="K45" s="5">
        <f t="shared" si="4"/>
        <v>3470</v>
      </c>
      <c r="L45" s="5"/>
      <c r="M45" s="5">
        <f t="shared" si="5"/>
        <v>8000</v>
      </c>
      <c r="N45" s="5"/>
      <c r="O45" s="5"/>
      <c r="P45" s="5"/>
      <c r="Q45" s="33">
        <v>25000</v>
      </c>
      <c r="R45" s="33"/>
      <c r="S45" s="33">
        <v>8000</v>
      </c>
      <c r="T45" s="5"/>
      <c r="U45" s="14">
        <f>C45*0.2</f>
        <v>6668</v>
      </c>
      <c r="V45" s="85">
        <f>C45*0.06</f>
        <v>2000.3999999999999</v>
      </c>
      <c r="W45" s="6"/>
      <c r="X45" s="6"/>
      <c r="Y45" s="6"/>
    </row>
    <row r="46" spans="2:25" ht="11.25">
      <c r="B46" s="51" t="s">
        <v>8</v>
      </c>
      <c r="C46" s="58"/>
      <c r="D46" s="5"/>
      <c r="E46" s="5"/>
      <c r="F46" s="5"/>
      <c r="G46" s="5"/>
      <c r="H46" s="5"/>
      <c r="I46" s="5"/>
      <c r="J46" s="5"/>
      <c r="K46" s="5"/>
      <c r="L46" s="5"/>
      <c r="M46" s="5"/>
      <c r="N46" s="5"/>
      <c r="O46" s="5"/>
      <c r="P46" s="5"/>
      <c r="Q46" s="33"/>
      <c r="R46" s="33"/>
      <c r="S46" s="33"/>
      <c r="T46" s="5"/>
      <c r="U46" s="14"/>
      <c r="V46" s="85"/>
      <c r="W46" s="6"/>
      <c r="X46" s="6"/>
      <c r="Y46" s="6"/>
    </row>
    <row r="47" spans="2:25" ht="11.25">
      <c r="B47" s="49" t="s">
        <v>32</v>
      </c>
      <c r="C47" s="58">
        <v>33340</v>
      </c>
      <c r="D47" s="5"/>
      <c r="E47" s="5"/>
      <c r="F47" s="5"/>
      <c r="G47" s="5">
        <f t="shared" si="0"/>
        <v>624</v>
      </c>
      <c r="H47" s="5">
        <f t="shared" si="1"/>
        <v>31090</v>
      </c>
      <c r="I47" s="5">
        <f t="shared" si="2"/>
        <v>11575</v>
      </c>
      <c r="J47" s="5">
        <f t="shared" si="3"/>
        <v>4630</v>
      </c>
      <c r="K47" s="5">
        <f t="shared" si="4"/>
        <v>3470</v>
      </c>
      <c r="L47" s="5"/>
      <c r="M47" s="5">
        <f t="shared" si="5"/>
        <v>8000</v>
      </c>
      <c r="N47" s="5"/>
      <c r="O47" s="5"/>
      <c r="P47" s="5"/>
      <c r="Q47" s="33">
        <v>0</v>
      </c>
      <c r="R47" s="33"/>
      <c r="S47" s="33">
        <v>70820</v>
      </c>
      <c r="T47" s="5"/>
      <c r="U47" s="14">
        <f>C47*0.2</f>
        <v>6668</v>
      </c>
      <c r="V47" s="85">
        <f>C47*0.06</f>
        <v>2000.3999999999999</v>
      </c>
      <c r="W47" s="6"/>
      <c r="X47" s="6"/>
      <c r="Y47" s="6"/>
    </row>
    <row r="48" spans="2:25" ht="11.25">
      <c r="B48" s="50" t="s">
        <v>12</v>
      </c>
      <c r="C48" s="58"/>
      <c r="D48" s="5"/>
      <c r="E48" s="5"/>
      <c r="F48" s="5"/>
      <c r="G48" s="5"/>
      <c r="H48" s="5"/>
      <c r="I48" s="5"/>
      <c r="J48" s="5"/>
      <c r="K48" s="5"/>
      <c r="L48" s="5"/>
      <c r="M48" s="5"/>
      <c r="N48" s="5"/>
      <c r="O48" s="5"/>
      <c r="P48" s="5"/>
      <c r="Q48" s="33"/>
      <c r="R48" s="33"/>
      <c r="S48" s="33"/>
      <c r="T48" s="5"/>
      <c r="U48" s="14"/>
      <c r="V48" s="85"/>
      <c r="W48" s="6"/>
      <c r="X48" s="6"/>
      <c r="Y48" s="6"/>
    </row>
    <row r="49" spans="1:42" ht="11.25">
      <c r="B49" s="49" t="s">
        <v>30</v>
      </c>
      <c r="C49" s="58">
        <v>33340</v>
      </c>
      <c r="D49" s="5"/>
      <c r="E49" s="5"/>
      <c r="F49" s="5"/>
      <c r="G49" s="5">
        <f t="shared" si="0"/>
        <v>624</v>
      </c>
      <c r="H49" s="5">
        <f t="shared" si="1"/>
        <v>31090</v>
      </c>
      <c r="I49" s="5">
        <f t="shared" si="2"/>
        <v>11575</v>
      </c>
      <c r="J49" s="5">
        <f t="shared" si="3"/>
        <v>4630</v>
      </c>
      <c r="K49" s="5">
        <f t="shared" si="4"/>
        <v>3470</v>
      </c>
      <c r="L49" s="5"/>
      <c r="M49" s="5">
        <f t="shared" si="5"/>
        <v>8000</v>
      </c>
      <c r="N49" s="8"/>
      <c r="O49" s="8"/>
      <c r="P49" s="8"/>
      <c r="Q49" s="33">
        <v>25000</v>
      </c>
      <c r="R49" s="33"/>
      <c r="S49" s="33">
        <v>28900</v>
      </c>
      <c r="T49" s="5"/>
      <c r="U49" s="14">
        <f>C49*0.2</f>
        <v>6668</v>
      </c>
      <c r="V49" s="85">
        <f>C49*0.06</f>
        <v>2000.3999999999999</v>
      </c>
    </row>
    <row r="50" spans="1:42" ht="11.25">
      <c r="B50" s="54"/>
      <c r="C50" s="15"/>
      <c r="D50" s="16"/>
      <c r="E50" s="16"/>
      <c r="F50" s="16"/>
      <c r="G50" s="16"/>
      <c r="H50" s="16"/>
      <c r="I50" s="16"/>
      <c r="J50" s="16"/>
      <c r="K50" s="16"/>
      <c r="L50" s="16"/>
      <c r="M50" s="16"/>
      <c r="N50" s="17"/>
      <c r="O50" s="17"/>
      <c r="P50" s="17"/>
      <c r="Q50" s="34"/>
      <c r="R50" s="34"/>
      <c r="S50" s="34"/>
      <c r="T50" s="16"/>
      <c r="U50" s="18"/>
      <c r="V50" s="86"/>
    </row>
    <row r="51" spans="1:42" s="26" customFormat="1">
      <c r="A51" s="21"/>
      <c r="B51" s="27" t="s">
        <v>79</v>
      </c>
      <c r="C51" s="28">
        <f t="shared" ref="C51:K51" si="18">SUM(C9:C49)</f>
        <v>1100220</v>
      </c>
      <c r="D51" s="28">
        <f t="shared" si="18"/>
        <v>0</v>
      </c>
      <c r="E51" s="28">
        <f t="shared" si="18"/>
        <v>0</v>
      </c>
      <c r="F51" s="28">
        <f t="shared" si="18"/>
        <v>0</v>
      </c>
      <c r="G51" s="28">
        <f t="shared" si="18"/>
        <v>20592</v>
      </c>
      <c r="H51" s="28">
        <f t="shared" si="18"/>
        <v>1025970</v>
      </c>
      <c r="I51" s="28">
        <f t="shared" si="18"/>
        <v>381975</v>
      </c>
      <c r="J51" s="28">
        <f t="shared" si="18"/>
        <v>152790</v>
      </c>
      <c r="K51" s="28">
        <f t="shared" si="18"/>
        <v>111040</v>
      </c>
      <c r="L51" s="28"/>
      <c r="M51" s="28">
        <f t="shared" ref="M51:V51" si="19">SUM(M9:M49)</f>
        <v>264000</v>
      </c>
      <c r="N51" s="28">
        <f t="shared" si="19"/>
        <v>33978</v>
      </c>
      <c r="O51" s="28">
        <f t="shared" si="19"/>
        <v>90291</v>
      </c>
      <c r="P51" s="28">
        <f t="shared" si="19"/>
        <v>27895</v>
      </c>
      <c r="Q51" s="28">
        <f t="shared" si="19"/>
        <v>742666.5</v>
      </c>
      <c r="R51" s="28"/>
      <c r="S51" s="28">
        <f t="shared" si="19"/>
        <v>955761.76</v>
      </c>
      <c r="T51" s="28"/>
      <c r="U51" s="28">
        <f t="shared" si="19"/>
        <v>220044</v>
      </c>
      <c r="V51" s="87">
        <f t="shared" si="19"/>
        <v>66013.200000000026</v>
      </c>
      <c r="W51" s="25"/>
      <c r="X51" s="25"/>
      <c r="Y51" s="25"/>
      <c r="Z51" s="25"/>
      <c r="AA51" s="25"/>
      <c r="AB51" s="25"/>
      <c r="AC51" s="25"/>
      <c r="AD51" s="25"/>
      <c r="AE51" s="25"/>
      <c r="AF51" s="25"/>
      <c r="AG51" s="25"/>
      <c r="AH51" s="25"/>
      <c r="AI51" s="25"/>
      <c r="AJ51" s="25"/>
      <c r="AK51" s="25"/>
      <c r="AL51" s="25"/>
      <c r="AM51" s="25"/>
      <c r="AN51" s="25"/>
      <c r="AO51" s="25"/>
      <c r="AP51" s="25"/>
    </row>
    <row r="52" spans="1:42" s="29" customFormat="1" ht="13.5" thickBot="1">
      <c r="B52" s="55"/>
      <c r="C52" s="59"/>
      <c r="D52" s="30"/>
      <c r="E52" s="30"/>
      <c r="F52" s="30"/>
      <c r="G52" s="30"/>
      <c r="H52" s="30"/>
      <c r="I52" s="30"/>
      <c r="J52" s="30"/>
      <c r="K52" s="30"/>
      <c r="L52" s="30"/>
      <c r="M52" s="30"/>
      <c r="N52" s="30"/>
      <c r="O52" s="30"/>
      <c r="P52" s="30"/>
      <c r="Q52" s="30"/>
      <c r="R52" s="30"/>
      <c r="S52" s="30"/>
      <c r="T52" s="30"/>
      <c r="U52" s="30"/>
      <c r="V52" s="46"/>
    </row>
    <row r="53" spans="1:42" ht="13.5" thickTop="1">
      <c r="B53" s="10" t="s">
        <v>59</v>
      </c>
      <c r="C53" s="2" t="s">
        <v>60</v>
      </c>
    </row>
    <row r="54" spans="1:42">
      <c r="B54" s="10" t="s">
        <v>66</v>
      </c>
      <c r="C54" s="2" t="s">
        <v>69</v>
      </c>
    </row>
    <row r="55" spans="1:42">
      <c r="B55" s="10" t="s">
        <v>70</v>
      </c>
      <c r="C55" s="2" t="s">
        <v>71</v>
      </c>
    </row>
    <row r="56" spans="1:42">
      <c r="B56" s="10" t="s">
        <v>74</v>
      </c>
      <c r="C56" s="2" t="s">
        <v>75</v>
      </c>
    </row>
    <row r="57" spans="1:42">
      <c r="B57" s="10" t="s">
        <v>83</v>
      </c>
      <c r="C57" s="2" t="s">
        <v>88</v>
      </c>
    </row>
    <row r="58" spans="1:42">
      <c r="B58" s="10" t="s">
        <v>86</v>
      </c>
      <c r="C58" s="2" t="s">
        <v>89</v>
      </c>
    </row>
    <row r="59" spans="1:42">
      <c r="B59" s="10" t="s">
        <v>87</v>
      </c>
      <c r="C59" s="99" t="s">
        <v>96</v>
      </c>
    </row>
    <row r="60" spans="1:42">
      <c r="B60" s="10" t="s">
        <v>90</v>
      </c>
      <c r="C60" s="92" t="s">
        <v>91</v>
      </c>
    </row>
    <row r="61" spans="1:42">
      <c r="B61" s="10" t="s">
        <v>95</v>
      </c>
      <c r="C61" s="2" t="s">
        <v>93</v>
      </c>
    </row>
    <row r="63" spans="1:42">
      <c r="B63" s="11"/>
    </row>
    <row r="64" spans="1:42">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sheetData>
  <mergeCells count="7">
    <mergeCell ref="B1:W1"/>
    <mergeCell ref="B2:W2"/>
    <mergeCell ref="B3:W3"/>
    <mergeCell ref="B4:W4"/>
    <mergeCell ref="C6:P6"/>
    <mergeCell ref="Q6:S6"/>
    <mergeCell ref="U6:V6"/>
  </mergeCells>
  <printOptions horizontalCentered="1"/>
  <pageMargins left="0.51181102362204722" right="0.31496062992125984" top="0.74803149606299213" bottom="0.74803149606299213" header="0.31496062992125984" footer="0.31496062992125984"/>
  <pageSetup paperSize="5" scale="66" orientation="landscape" r:id="rId1"/>
  <drawing r:id="rId2"/>
</worksheet>
</file>

<file path=xl/worksheets/sheet7.xml><?xml version="1.0" encoding="utf-8"?>
<worksheet xmlns="http://schemas.openxmlformats.org/spreadsheetml/2006/main" xmlns:r="http://schemas.openxmlformats.org/officeDocument/2006/relationships">
  <sheetPr>
    <tabColor rgb="FF00B050"/>
  </sheetPr>
  <dimension ref="A1:AS90"/>
  <sheetViews>
    <sheetView workbookViewId="0">
      <pane xSplit="2" ySplit="9" topLeftCell="C40" activePane="bottomRight" state="frozen"/>
      <selection pane="topRight" activeCell="C1" sqref="C1"/>
      <selection pane="bottomLeft" activeCell="A9" sqref="A9"/>
      <selection pane="bottomRight" activeCell="C65" sqref="C65"/>
    </sheetView>
  </sheetViews>
  <sheetFormatPr baseColWidth="10" defaultColWidth="11.42578125" defaultRowHeight="12.75"/>
  <cols>
    <col min="1" max="1" width="1.5703125" style="2" customWidth="1"/>
    <col min="2" max="2" width="32.140625" style="12" customWidth="1"/>
    <col min="3" max="3" width="13.5703125" style="72" customWidth="1"/>
    <col min="4" max="4" width="12.85546875" style="2" customWidth="1"/>
    <col min="5" max="5" width="11.140625" style="2" customWidth="1"/>
    <col min="6" max="6" width="10.5703125" style="2" customWidth="1"/>
    <col min="7" max="7" width="12" style="2" customWidth="1"/>
    <col min="8" max="8" width="9.85546875" style="2" bestFit="1" customWidth="1"/>
    <col min="9" max="9" width="12.85546875" style="2" customWidth="1"/>
    <col min="10" max="10" width="12" style="2" customWidth="1"/>
    <col min="11" max="12" width="11.28515625" style="2" bestFit="1" customWidth="1"/>
    <col min="13" max="13" width="2.7109375" style="2" bestFit="1" customWidth="1"/>
    <col min="14" max="14" width="11.28515625" style="2" bestFit="1" customWidth="1"/>
    <col min="15" max="15" width="9.85546875" style="2" bestFit="1" customWidth="1"/>
    <col min="16" max="16" width="11.28515625" style="2" bestFit="1" customWidth="1"/>
    <col min="17" max="17" width="10.85546875" style="2" customWidth="1"/>
    <col min="18" max="18" width="12.28515625" style="2" bestFit="1" customWidth="1"/>
    <col min="19" max="19" width="2.7109375" style="2" customWidth="1"/>
    <col min="20" max="20" width="12.28515625" style="2" bestFit="1" customWidth="1"/>
    <col min="21" max="21" width="2.5703125" style="2" customWidth="1"/>
    <col min="22" max="22" width="11.28515625" style="2" bestFit="1" customWidth="1"/>
    <col min="23" max="23" width="9.85546875" style="2" bestFit="1" customWidth="1"/>
    <col min="24" max="24" width="12.28515625" style="2" bestFit="1" customWidth="1"/>
    <col min="25" max="25" width="12.28515625" style="80" bestFit="1" customWidth="1"/>
    <col min="26" max="26" width="3.7109375" style="2" customWidth="1"/>
    <col min="27" max="16384" width="11.42578125" style="2"/>
  </cols>
  <sheetData>
    <row r="1" spans="1:45" ht="18.75">
      <c r="A1" s="2">
        <v>6</v>
      </c>
      <c r="B1" s="93" t="s">
        <v>48</v>
      </c>
      <c r="C1" s="93"/>
      <c r="D1" s="93"/>
      <c r="E1" s="93"/>
      <c r="F1" s="93"/>
      <c r="G1" s="93"/>
      <c r="H1" s="93"/>
      <c r="I1" s="93"/>
      <c r="J1" s="93"/>
      <c r="K1" s="93"/>
      <c r="L1" s="93"/>
      <c r="M1" s="93"/>
      <c r="N1" s="93"/>
      <c r="O1" s="93"/>
      <c r="P1" s="93"/>
      <c r="Q1" s="93"/>
      <c r="R1" s="93"/>
      <c r="S1" s="93"/>
      <c r="T1" s="93"/>
      <c r="U1" s="93"/>
      <c r="V1" s="93"/>
      <c r="W1" s="93"/>
      <c r="X1" s="93"/>
      <c r="Y1" s="93"/>
      <c r="Z1" s="93"/>
    </row>
    <row r="2" spans="1:45" ht="15.75">
      <c r="B2" s="94" t="s">
        <v>54</v>
      </c>
      <c r="C2" s="94"/>
      <c r="D2" s="94"/>
      <c r="E2" s="94"/>
      <c r="F2" s="94"/>
      <c r="G2" s="94"/>
      <c r="H2" s="94"/>
      <c r="I2" s="94"/>
      <c r="J2" s="94"/>
      <c r="K2" s="94"/>
      <c r="L2" s="94"/>
      <c r="M2" s="94"/>
      <c r="N2" s="94"/>
      <c r="O2" s="94"/>
      <c r="P2" s="94"/>
      <c r="Q2" s="94"/>
      <c r="R2" s="94"/>
      <c r="S2" s="94"/>
      <c r="T2" s="94"/>
      <c r="U2" s="94"/>
      <c r="V2" s="94"/>
      <c r="W2" s="94"/>
      <c r="X2" s="94"/>
      <c r="Y2" s="94"/>
      <c r="Z2" s="94"/>
    </row>
    <row r="3" spans="1:45" ht="15.75">
      <c r="B3" s="94" t="s">
        <v>65</v>
      </c>
      <c r="C3" s="94"/>
      <c r="D3" s="94"/>
      <c r="E3" s="94"/>
      <c r="F3" s="94"/>
      <c r="G3" s="94"/>
      <c r="H3" s="94"/>
      <c r="I3" s="94"/>
      <c r="J3" s="94"/>
      <c r="K3" s="94"/>
      <c r="L3" s="94"/>
      <c r="M3" s="94"/>
      <c r="N3" s="94"/>
      <c r="O3" s="94"/>
      <c r="P3" s="94"/>
      <c r="Q3" s="94"/>
      <c r="R3" s="94"/>
      <c r="S3" s="94"/>
      <c r="T3" s="94"/>
      <c r="U3" s="94"/>
      <c r="V3" s="94"/>
      <c r="W3" s="94"/>
      <c r="X3" s="94"/>
      <c r="Y3" s="94"/>
      <c r="Z3" s="94"/>
      <c r="AA3" s="1"/>
      <c r="AB3" s="1"/>
      <c r="AC3" s="1"/>
      <c r="AD3" s="1"/>
      <c r="AE3" s="1"/>
      <c r="AF3" s="1"/>
      <c r="AG3" s="1"/>
      <c r="AH3" s="1"/>
      <c r="AI3" s="1"/>
      <c r="AJ3" s="1"/>
      <c r="AK3" s="1"/>
      <c r="AL3" s="1"/>
      <c r="AM3" s="1"/>
      <c r="AN3" s="1"/>
      <c r="AO3" s="1"/>
      <c r="AP3" s="1"/>
      <c r="AQ3" s="1"/>
      <c r="AR3" s="1"/>
      <c r="AS3" s="1"/>
    </row>
    <row r="4" spans="1:45" ht="15.75">
      <c r="B4" s="94" t="s">
        <v>67</v>
      </c>
      <c r="C4" s="94"/>
      <c r="D4" s="94"/>
      <c r="E4" s="94"/>
      <c r="F4" s="94"/>
      <c r="G4" s="94"/>
      <c r="H4" s="94"/>
      <c r="I4" s="94"/>
      <c r="J4" s="94"/>
      <c r="K4" s="94"/>
      <c r="L4" s="94"/>
      <c r="M4" s="94"/>
      <c r="N4" s="94"/>
      <c r="O4" s="94"/>
      <c r="P4" s="94"/>
      <c r="Q4" s="94"/>
      <c r="R4" s="94"/>
      <c r="S4" s="94"/>
      <c r="T4" s="94"/>
      <c r="U4" s="94"/>
      <c r="V4" s="94"/>
      <c r="W4" s="94"/>
      <c r="X4" s="94"/>
      <c r="Y4" s="94"/>
      <c r="Z4" s="94"/>
      <c r="AA4" s="1"/>
      <c r="AB4" s="1"/>
      <c r="AC4" s="1"/>
      <c r="AD4" s="1"/>
      <c r="AE4" s="1"/>
      <c r="AF4" s="1"/>
      <c r="AG4" s="1"/>
      <c r="AH4" s="1"/>
      <c r="AI4" s="1"/>
      <c r="AJ4" s="1"/>
      <c r="AK4" s="1"/>
      <c r="AL4" s="1"/>
      <c r="AM4" s="1"/>
      <c r="AN4" s="1"/>
      <c r="AO4" s="1"/>
      <c r="AP4" s="1"/>
      <c r="AQ4" s="1"/>
      <c r="AR4" s="1"/>
      <c r="AS4" s="1"/>
    </row>
    <row r="5" spans="1:45" ht="16.5" thickBot="1">
      <c r="B5" s="81"/>
      <c r="C5" s="81"/>
      <c r="D5" s="81"/>
      <c r="E5" s="81"/>
      <c r="F5" s="81"/>
      <c r="G5" s="81"/>
      <c r="H5" s="81"/>
      <c r="I5" s="81"/>
      <c r="J5" s="81"/>
      <c r="K5" s="81"/>
      <c r="L5" s="81"/>
      <c r="M5" s="81"/>
      <c r="N5" s="81"/>
      <c r="O5" s="81"/>
      <c r="P5" s="81"/>
      <c r="Q5" s="81"/>
      <c r="R5" s="81"/>
      <c r="S5" s="90"/>
      <c r="T5" s="81"/>
      <c r="U5" s="90"/>
      <c r="V5" s="81"/>
      <c r="W5" s="81"/>
      <c r="X5" s="81"/>
      <c r="Y5" s="81"/>
      <c r="Z5" s="81"/>
      <c r="AA5" s="1"/>
      <c r="AB5" s="1"/>
      <c r="AC5" s="1"/>
      <c r="AD5" s="1"/>
      <c r="AE5" s="1"/>
      <c r="AF5" s="1"/>
      <c r="AG5" s="1"/>
      <c r="AH5" s="1"/>
      <c r="AI5" s="1"/>
      <c r="AJ5" s="1"/>
      <c r="AK5" s="1"/>
      <c r="AL5" s="1"/>
      <c r="AM5" s="1"/>
      <c r="AN5" s="1"/>
      <c r="AO5" s="1"/>
      <c r="AP5" s="1"/>
      <c r="AQ5" s="1"/>
      <c r="AR5" s="1"/>
      <c r="AS5" s="1"/>
    </row>
    <row r="6" spans="1:45" ht="20.25" thickTop="1" thickBot="1">
      <c r="B6" s="31"/>
      <c r="C6" s="68"/>
      <c r="D6" s="95" t="s">
        <v>68</v>
      </c>
      <c r="E6" s="96"/>
      <c r="F6" s="96"/>
      <c r="G6" s="96"/>
      <c r="H6" s="96"/>
      <c r="I6" s="96"/>
      <c r="J6" s="96"/>
      <c r="K6" s="96"/>
      <c r="L6" s="96"/>
      <c r="M6" s="96"/>
      <c r="N6" s="96"/>
      <c r="O6" s="96"/>
      <c r="P6" s="96"/>
      <c r="Q6" s="97"/>
      <c r="R6" s="95" t="s">
        <v>72</v>
      </c>
      <c r="S6" s="96"/>
      <c r="T6" s="97"/>
      <c r="U6" s="91"/>
      <c r="V6" s="95" t="s">
        <v>73</v>
      </c>
      <c r="W6" s="97"/>
      <c r="X6" s="31"/>
      <c r="Y6" s="74"/>
      <c r="Z6" s="31"/>
      <c r="AA6" s="1"/>
      <c r="AB6" s="1"/>
      <c r="AC6" s="1"/>
      <c r="AD6" s="1"/>
      <c r="AE6" s="1"/>
      <c r="AF6" s="1"/>
      <c r="AG6" s="1"/>
      <c r="AH6" s="1"/>
      <c r="AI6" s="1"/>
      <c r="AJ6" s="1"/>
      <c r="AK6" s="1"/>
      <c r="AL6" s="1"/>
      <c r="AM6" s="1"/>
      <c r="AN6" s="1"/>
      <c r="AO6" s="1"/>
      <c r="AP6" s="1"/>
      <c r="AQ6" s="1"/>
      <c r="AR6" s="1"/>
      <c r="AS6" s="1"/>
    </row>
    <row r="7" spans="1:45" s="3" customFormat="1" ht="37.5" customHeight="1" thickTop="1" thickBot="1">
      <c r="A7" s="2"/>
      <c r="B7" s="47"/>
      <c r="C7" s="60"/>
      <c r="D7" s="56" t="s">
        <v>46</v>
      </c>
      <c r="E7" s="20" t="s">
        <v>62</v>
      </c>
      <c r="F7" s="20" t="s">
        <v>63</v>
      </c>
      <c r="G7" s="20" t="s">
        <v>58</v>
      </c>
      <c r="H7" s="20" t="s">
        <v>55</v>
      </c>
      <c r="I7" s="20" t="s">
        <v>45</v>
      </c>
      <c r="J7" s="20" t="s">
        <v>49</v>
      </c>
      <c r="K7" s="20" t="s">
        <v>50</v>
      </c>
      <c r="L7" s="20" t="s">
        <v>51</v>
      </c>
      <c r="M7" s="20"/>
      <c r="N7" s="20" t="s">
        <v>9</v>
      </c>
      <c r="O7" s="20" t="s">
        <v>0</v>
      </c>
      <c r="P7" s="20" t="s">
        <v>56</v>
      </c>
      <c r="Q7" s="20" t="s">
        <v>57</v>
      </c>
      <c r="R7" s="20" t="s">
        <v>84</v>
      </c>
      <c r="S7" s="20"/>
      <c r="T7" s="20" t="s">
        <v>85</v>
      </c>
      <c r="U7" s="20"/>
      <c r="V7" s="20" t="s">
        <v>11</v>
      </c>
      <c r="W7" s="36" t="s">
        <v>10</v>
      </c>
      <c r="X7" s="39" t="s">
        <v>64</v>
      </c>
      <c r="Y7" s="35" t="s">
        <v>52</v>
      </c>
      <c r="Z7" s="1"/>
      <c r="AA7" s="1"/>
      <c r="AB7" s="1"/>
      <c r="AC7" s="1"/>
      <c r="AD7" s="1"/>
      <c r="AE7" s="1"/>
      <c r="AF7" s="1"/>
      <c r="AG7" s="1"/>
      <c r="AH7" s="1"/>
      <c r="AI7" s="1"/>
      <c r="AJ7" s="1"/>
      <c r="AK7" s="1"/>
      <c r="AL7" s="1"/>
      <c r="AM7" s="1"/>
      <c r="AN7" s="1"/>
      <c r="AO7" s="1"/>
      <c r="AP7" s="1"/>
      <c r="AQ7" s="1"/>
      <c r="AR7" s="1"/>
      <c r="AS7" s="1"/>
    </row>
    <row r="8" spans="1:45" s="26" customFormat="1" ht="13.5" thickTop="1">
      <c r="A8" s="21"/>
      <c r="B8" s="22" t="s">
        <v>61</v>
      </c>
      <c r="C8" s="61">
        <f>SUM(D8:W8)</f>
        <v>66337068.851999998</v>
      </c>
      <c r="D8" s="24">
        <f>(32369*1.05)*33*12</f>
        <v>13459030.200000001</v>
      </c>
      <c r="E8" s="24">
        <v>1510607.8</v>
      </c>
      <c r="F8" s="24">
        <v>747724</v>
      </c>
      <c r="G8" s="24">
        <f>1700*33</f>
        <v>56100</v>
      </c>
      <c r="H8" s="24">
        <f>624*12*33</f>
        <v>247104</v>
      </c>
      <c r="I8" s="24">
        <f>31090*12*33</f>
        <v>12311640</v>
      </c>
      <c r="J8" s="24">
        <f>11575*12*33</f>
        <v>4583700</v>
      </c>
      <c r="K8" s="24">
        <f>4630*12*33</f>
        <v>1833480</v>
      </c>
      <c r="L8" s="24">
        <f>3470*12*33</f>
        <v>1374120</v>
      </c>
      <c r="M8" s="24"/>
      <c r="N8" s="24">
        <f>8000*12*33</f>
        <v>3168000</v>
      </c>
      <c r="O8" s="24">
        <v>407743</v>
      </c>
      <c r="P8" s="24">
        <v>1083492</v>
      </c>
      <c r="Q8" s="24">
        <v>334740</v>
      </c>
      <c r="R8" s="24">
        <f>(25000*12*30)+(40000+35000+30000)*12</f>
        <v>10260000</v>
      </c>
      <c r="S8" s="24"/>
      <c r="T8" s="24">
        <f>28940*12*33</f>
        <v>11460240</v>
      </c>
      <c r="U8" s="4"/>
      <c r="V8" s="24">
        <v>2691806.04</v>
      </c>
      <c r="W8" s="23">
        <v>807541.81199999992</v>
      </c>
      <c r="X8" s="40"/>
      <c r="Y8" s="75"/>
      <c r="Z8" s="25"/>
      <c r="AA8" s="25"/>
      <c r="AB8" s="25"/>
      <c r="AC8" s="25"/>
      <c r="AD8" s="25"/>
      <c r="AE8" s="25"/>
      <c r="AF8" s="25"/>
      <c r="AG8" s="25"/>
      <c r="AH8" s="25"/>
      <c r="AI8" s="25"/>
      <c r="AJ8" s="25"/>
      <c r="AK8" s="25"/>
      <c r="AL8" s="25"/>
      <c r="AM8" s="25"/>
      <c r="AN8" s="25"/>
      <c r="AO8" s="25"/>
      <c r="AP8" s="25"/>
      <c r="AQ8" s="25"/>
      <c r="AR8" s="25"/>
      <c r="AS8" s="25"/>
    </row>
    <row r="9" spans="1:45" ht="11.25">
      <c r="B9" s="48" t="s">
        <v>3</v>
      </c>
      <c r="C9" s="62"/>
      <c r="D9" s="57"/>
      <c r="E9" s="4"/>
      <c r="F9" s="4"/>
      <c r="G9" s="4"/>
      <c r="H9" s="4"/>
      <c r="I9" s="4"/>
      <c r="J9" s="4"/>
      <c r="K9" s="4"/>
      <c r="L9" s="4"/>
      <c r="M9" s="4"/>
      <c r="N9" s="4"/>
      <c r="O9" s="4"/>
      <c r="P9" s="4"/>
      <c r="Q9" s="4"/>
      <c r="R9" s="13"/>
      <c r="S9" s="13"/>
      <c r="T9" s="13"/>
      <c r="U9" s="5"/>
      <c r="V9" s="13"/>
      <c r="W9" s="13"/>
      <c r="X9" s="41"/>
      <c r="Y9" s="76"/>
      <c r="Z9" s="1"/>
      <c r="AA9" s="1"/>
      <c r="AB9" s="1"/>
      <c r="AC9" s="1"/>
      <c r="AD9" s="1"/>
      <c r="AE9" s="1"/>
      <c r="AF9" s="1"/>
      <c r="AG9" s="1"/>
      <c r="AH9" s="1"/>
      <c r="AI9" s="1"/>
      <c r="AJ9" s="1"/>
      <c r="AK9" s="1"/>
      <c r="AL9" s="1"/>
      <c r="AM9" s="1"/>
      <c r="AN9" s="1"/>
      <c r="AO9" s="1"/>
      <c r="AP9" s="1"/>
      <c r="AQ9" s="1"/>
      <c r="AR9" s="1"/>
      <c r="AS9" s="1"/>
    </row>
    <row r="10" spans="1:45" ht="11.25">
      <c r="B10" s="49" t="s">
        <v>40</v>
      </c>
      <c r="C10" s="70">
        <f>1943972.54+192640+60000</f>
        <v>2196612.54</v>
      </c>
      <c r="D10" s="58">
        <f>(32369*4)+(33340*2)</f>
        <v>196156</v>
      </c>
      <c r="E10" s="5"/>
      <c r="F10" s="5"/>
      <c r="G10" s="5"/>
      <c r="H10" s="5">
        <f t="shared" ref="H10:H50" si="0">624*$A$1</f>
        <v>3744</v>
      </c>
      <c r="I10" s="5">
        <f t="shared" ref="I10:I50" si="1">31090*$A$1</f>
        <v>186540</v>
      </c>
      <c r="J10" s="5">
        <f t="shared" ref="J10:J50" si="2">11575*$A$1</f>
        <v>69450</v>
      </c>
      <c r="K10" s="5">
        <f t="shared" ref="K10:K50" si="3">4630*$A$1</f>
        <v>27780</v>
      </c>
      <c r="L10" s="5">
        <f t="shared" ref="L10:L50" si="4">3470*$A$1</f>
        <v>20820</v>
      </c>
      <c r="M10" s="5"/>
      <c r="N10" s="5">
        <f t="shared" ref="N10:N50" si="5">8000*$A$1</f>
        <v>48000</v>
      </c>
      <c r="O10" s="5"/>
      <c r="P10" s="5">
        <f>48160*4</f>
        <v>192640</v>
      </c>
      <c r="Q10" s="5"/>
      <c r="R10" s="83">
        <v>184991</v>
      </c>
      <c r="S10" s="83"/>
      <c r="T10" s="33">
        <v>152660</v>
      </c>
      <c r="U10" s="5"/>
      <c r="V10" s="14">
        <f>32369*0.2*4+(33340*0.2*2)</f>
        <v>39231.199999999997</v>
      </c>
      <c r="W10" s="14">
        <f>32369*0.06*4+(33340*0.06*2)</f>
        <v>11769.359999999999</v>
      </c>
      <c r="X10" s="42">
        <f t="shared" ref="X10:X18" si="6">SUM(D10:W10)</f>
        <v>1133781.56</v>
      </c>
      <c r="Y10" s="77">
        <f t="shared" ref="Y10:Y25" si="7">C10-X10</f>
        <v>1062830.98</v>
      </c>
      <c r="Z10" s="6"/>
      <c r="AA10" s="6"/>
      <c r="AB10" s="6"/>
    </row>
    <row r="11" spans="1:45" ht="11.25">
      <c r="B11" s="49" t="s">
        <v>16</v>
      </c>
      <c r="C11" s="69">
        <v>1943972.54</v>
      </c>
      <c r="D11" s="58">
        <f t="shared" ref="D11:D25" si="8">(32369*4)+(33340*2)</f>
        <v>196156</v>
      </c>
      <c r="E11" s="5"/>
      <c r="F11" s="5"/>
      <c r="G11" s="5"/>
      <c r="H11" s="5">
        <f t="shared" si="0"/>
        <v>3744</v>
      </c>
      <c r="I11" s="5">
        <f t="shared" si="1"/>
        <v>186540</v>
      </c>
      <c r="J11" s="5">
        <f t="shared" si="2"/>
        <v>69450</v>
      </c>
      <c r="K11" s="5">
        <f t="shared" si="3"/>
        <v>27780</v>
      </c>
      <c r="L11" s="5">
        <f t="shared" si="4"/>
        <v>20820</v>
      </c>
      <c r="M11" s="5"/>
      <c r="N11" s="5">
        <f t="shared" si="5"/>
        <v>48000</v>
      </c>
      <c r="O11" s="5"/>
      <c r="P11" s="5"/>
      <c r="Q11" s="5"/>
      <c r="R11" s="83">
        <v>125000</v>
      </c>
      <c r="S11" s="83"/>
      <c r="T11" s="33">
        <v>152260</v>
      </c>
      <c r="U11" s="5"/>
      <c r="V11" s="14">
        <f t="shared" ref="V11:V43" si="9">32369*0.2*4+(33340*0.2*2)</f>
        <v>39231.199999999997</v>
      </c>
      <c r="W11" s="14">
        <f t="shared" ref="W11:X43" si="10">32369*0.06*4+(33340*0.06*2)</f>
        <v>11769.359999999999</v>
      </c>
      <c r="X11" s="42">
        <f t="shared" si="6"/>
        <v>880750.55999999994</v>
      </c>
      <c r="Y11" s="77">
        <f t="shared" si="7"/>
        <v>1063221.98</v>
      </c>
      <c r="Z11" s="6"/>
      <c r="AA11" s="7"/>
      <c r="AB11" s="7"/>
      <c r="AC11" s="1"/>
      <c r="AD11" s="1"/>
      <c r="AE11" s="1"/>
      <c r="AF11" s="1"/>
      <c r="AG11" s="1"/>
      <c r="AH11" s="1"/>
      <c r="AI11" s="1"/>
      <c r="AJ11" s="1"/>
      <c r="AK11" s="1"/>
      <c r="AL11" s="1"/>
      <c r="AM11" s="1"/>
      <c r="AN11" s="1"/>
      <c r="AO11" s="1"/>
      <c r="AP11" s="1"/>
      <c r="AQ11" s="1"/>
      <c r="AR11" s="1"/>
      <c r="AS11" s="1"/>
    </row>
    <row r="12" spans="1:45" ht="11.25">
      <c r="B12" s="49" t="s">
        <v>18</v>
      </c>
      <c r="C12" s="70">
        <f>1943972.54+21304</f>
        <v>1965276.54</v>
      </c>
      <c r="D12" s="58">
        <f t="shared" si="8"/>
        <v>196156</v>
      </c>
      <c r="E12" s="5"/>
      <c r="F12" s="5"/>
      <c r="G12" s="5"/>
      <c r="H12" s="5">
        <f t="shared" si="0"/>
        <v>3744</v>
      </c>
      <c r="I12" s="5">
        <f t="shared" si="1"/>
        <v>186540</v>
      </c>
      <c r="J12" s="5">
        <f t="shared" si="2"/>
        <v>69450</v>
      </c>
      <c r="K12" s="5">
        <f t="shared" si="3"/>
        <v>27780</v>
      </c>
      <c r="L12" s="5">
        <f t="shared" si="4"/>
        <v>20820</v>
      </c>
      <c r="M12" s="5"/>
      <c r="N12" s="5">
        <f t="shared" si="5"/>
        <v>48000</v>
      </c>
      <c r="O12" s="5">
        <f>2663*2</f>
        <v>5326</v>
      </c>
      <c r="P12" s="5"/>
      <c r="Q12" s="5"/>
      <c r="R12" s="83">
        <v>125000</v>
      </c>
      <c r="S12" s="83"/>
      <c r="T12" s="33">
        <v>152700</v>
      </c>
      <c r="U12" s="5"/>
      <c r="V12" s="14">
        <f t="shared" si="9"/>
        <v>39231.199999999997</v>
      </c>
      <c r="W12" s="14">
        <f t="shared" si="10"/>
        <v>11769.359999999999</v>
      </c>
      <c r="X12" s="42">
        <f t="shared" si="6"/>
        <v>886516.55999999994</v>
      </c>
      <c r="Y12" s="77">
        <f t="shared" si="7"/>
        <v>1078759.98</v>
      </c>
      <c r="Z12" s="6"/>
      <c r="AA12" s="7"/>
      <c r="AB12" s="7"/>
      <c r="AC12" s="1"/>
      <c r="AD12" s="1"/>
      <c r="AE12" s="1"/>
      <c r="AF12" s="1"/>
      <c r="AG12" s="1"/>
      <c r="AH12" s="1"/>
      <c r="AI12" s="1"/>
      <c r="AJ12" s="1"/>
      <c r="AK12" s="1"/>
      <c r="AL12" s="1"/>
      <c r="AM12" s="1"/>
      <c r="AN12" s="1"/>
      <c r="AO12" s="1"/>
      <c r="AP12" s="1"/>
      <c r="AQ12" s="1"/>
      <c r="AR12" s="1"/>
      <c r="AS12" s="1"/>
    </row>
    <row r="13" spans="1:45" ht="11.25">
      <c r="B13" s="49" t="s">
        <v>20</v>
      </c>
      <c r="C13" s="70">
        <v>1943972.54</v>
      </c>
      <c r="D13" s="58">
        <f t="shared" si="8"/>
        <v>196156</v>
      </c>
      <c r="E13" s="5"/>
      <c r="F13" s="5"/>
      <c r="G13" s="5"/>
      <c r="H13" s="5">
        <f t="shared" si="0"/>
        <v>3744</v>
      </c>
      <c r="I13" s="5">
        <f t="shared" si="1"/>
        <v>186540</v>
      </c>
      <c r="J13" s="5">
        <f t="shared" si="2"/>
        <v>69450</v>
      </c>
      <c r="K13" s="5">
        <f t="shared" si="3"/>
        <v>27780</v>
      </c>
      <c r="L13" s="5">
        <f t="shared" si="4"/>
        <v>20820</v>
      </c>
      <c r="M13" s="5"/>
      <c r="N13" s="5">
        <f t="shared" si="5"/>
        <v>48000</v>
      </c>
      <c r="O13" s="5"/>
      <c r="P13" s="5"/>
      <c r="Q13" s="5"/>
      <c r="R13" s="83">
        <v>125000</v>
      </c>
      <c r="S13" s="83"/>
      <c r="T13" s="33">
        <v>152700</v>
      </c>
      <c r="U13" s="5"/>
      <c r="V13" s="14">
        <f t="shared" si="9"/>
        <v>39231.199999999997</v>
      </c>
      <c r="W13" s="14">
        <f t="shared" si="10"/>
        <v>11769.359999999999</v>
      </c>
      <c r="X13" s="42">
        <f t="shared" si="6"/>
        <v>881190.55999999994</v>
      </c>
      <c r="Y13" s="77">
        <f t="shared" si="7"/>
        <v>1062781.98</v>
      </c>
      <c r="Z13" s="6"/>
      <c r="AA13" s="6"/>
      <c r="AB13" s="6"/>
    </row>
    <row r="14" spans="1:45" ht="11.25">
      <c r="B14" s="49" t="s">
        <v>23</v>
      </c>
      <c r="C14" s="70">
        <f>1943972.54+385280+16000+120000</f>
        <v>2465252.54</v>
      </c>
      <c r="D14" s="58">
        <f t="shared" si="8"/>
        <v>196156</v>
      </c>
      <c r="E14" s="5"/>
      <c r="F14" s="5"/>
      <c r="G14" s="5"/>
      <c r="H14" s="5">
        <f t="shared" si="0"/>
        <v>3744</v>
      </c>
      <c r="I14" s="5">
        <f t="shared" si="1"/>
        <v>186540</v>
      </c>
      <c r="J14" s="5">
        <f t="shared" si="2"/>
        <v>69450</v>
      </c>
      <c r="K14" s="5">
        <f t="shared" si="3"/>
        <v>27780</v>
      </c>
      <c r="L14" s="5">
        <f t="shared" si="4"/>
        <v>20820</v>
      </c>
      <c r="M14" s="5"/>
      <c r="N14" s="5">
        <f t="shared" si="5"/>
        <v>48000</v>
      </c>
      <c r="O14" s="5">
        <f>4000*4</f>
        <v>16000</v>
      </c>
      <c r="P14" s="5">
        <f>48160*2</f>
        <v>96320</v>
      </c>
      <c r="Q14" s="5"/>
      <c r="R14" s="83">
        <v>140000</v>
      </c>
      <c r="S14" s="83"/>
      <c r="T14" s="33">
        <v>110820</v>
      </c>
      <c r="U14" s="5"/>
      <c r="V14" s="14">
        <f t="shared" si="9"/>
        <v>39231.199999999997</v>
      </c>
      <c r="W14" s="14">
        <f t="shared" si="10"/>
        <v>11769.359999999999</v>
      </c>
      <c r="X14" s="42">
        <f t="shared" si="6"/>
        <v>966630.55999999994</v>
      </c>
      <c r="Y14" s="77">
        <f t="shared" si="7"/>
        <v>1498621.98</v>
      </c>
      <c r="Z14" s="6"/>
      <c r="AA14" s="6"/>
      <c r="AB14" s="6"/>
    </row>
    <row r="15" spans="1:45" ht="11.25">
      <c r="B15" s="49" t="s">
        <v>38</v>
      </c>
      <c r="C15" s="70">
        <f>1943972.54+10652+119024</f>
        <v>2073648.54</v>
      </c>
      <c r="D15" s="58">
        <f t="shared" si="8"/>
        <v>196156</v>
      </c>
      <c r="E15" s="5"/>
      <c r="F15" s="5"/>
      <c r="G15" s="5"/>
      <c r="H15" s="5">
        <f t="shared" si="0"/>
        <v>3744</v>
      </c>
      <c r="I15" s="5">
        <f t="shared" si="1"/>
        <v>186540</v>
      </c>
      <c r="J15" s="5">
        <f t="shared" si="2"/>
        <v>69450</v>
      </c>
      <c r="K15" s="5">
        <f t="shared" si="3"/>
        <v>27780</v>
      </c>
      <c r="L15" s="5">
        <f t="shared" si="4"/>
        <v>20820</v>
      </c>
      <c r="M15" s="5"/>
      <c r="N15" s="5">
        <f t="shared" si="5"/>
        <v>48000</v>
      </c>
      <c r="O15" s="5">
        <f>2663*4</f>
        <v>10652</v>
      </c>
      <c r="P15" s="5"/>
      <c r="Q15" s="5">
        <f>14878*2</f>
        <v>29756</v>
      </c>
      <c r="R15" s="33">
        <v>100000</v>
      </c>
      <c r="S15" s="33"/>
      <c r="T15" s="33">
        <v>152700</v>
      </c>
      <c r="U15" s="89"/>
      <c r="V15" s="14">
        <f t="shared" si="9"/>
        <v>39231.199999999997</v>
      </c>
      <c r="W15" s="14">
        <f t="shared" si="10"/>
        <v>11769.359999999999</v>
      </c>
      <c r="X15" s="42">
        <f t="shared" si="6"/>
        <v>896598.55999999994</v>
      </c>
      <c r="Y15" s="77">
        <f t="shared" si="7"/>
        <v>1177049.98</v>
      </c>
      <c r="Z15" s="6"/>
      <c r="AA15" s="6"/>
      <c r="AB15" s="6"/>
    </row>
    <row r="16" spans="1:45" ht="11.25">
      <c r="B16" s="49" t="s">
        <v>41</v>
      </c>
      <c r="C16" s="70">
        <f>1943972.54+120000</f>
        <v>2063972.54</v>
      </c>
      <c r="D16" s="58">
        <f t="shared" si="8"/>
        <v>196156</v>
      </c>
      <c r="E16" s="5"/>
      <c r="F16" s="5"/>
      <c r="G16" s="5"/>
      <c r="H16" s="5">
        <f t="shared" si="0"/>
        <v>3744</v>
      </c>
      <c r="I16" s="5">
        <f t="shared" si="1"/>
        <v>186540</v>
      </c>
      <c r="J16" s="5">
        <f t="shared" si="2"/>
        <v>69450</v>
      </c>
      <c r="K16" s="5">
        <f t="shared" si="3"/>
        <v>27780</v>
      </c>
      <c r="L16" s="5">
        <v>0</v>
      </c>
      <c r="M16" s="9" t="s">
        <v>59</v>
      </c>
      <c r="N16" s="5">
        <f t="shared" si="5"/>
        <v>48000</v>
      </c>
      <c r="O16" s="5">
        <f>10000*$A$1</f>
        <v>60000</v>
      </c>
      <c r="P16" s="5"/>
      <c r="Q16" s="5"/>
      <c r="R16" s="33">
        <f>51354-6559.13-12333.5</f>
        <v>32461.370000000003</v>
      </c>
      <c r="S16" s="89" t="s">
        <v>90</v>
      </c>
      <c r="T16" s="33">
        <f>65578+57291.9</f>
        <v>122869.9</v>
      </c>
      <c r="U16" s="89" t="s">
        <v>87</v>
      </c>
      <c r="V16" s="14">
        <f t="shared" si="9"/>
        <v>39231.199999999997</v>
      </c>
      <c r="W16" s="14">
        <f t="shared" si="10"/>
        <v>11769.359999999999</v>
      </c>
      <c r="X16" s="42">
        <f t="shared" si="6"/>
        <v>798001.83</v>
      </c>
      <c r="Y16" s="77">
        <f t="shared" si="7"/>
        <v>1265970.71</v>
      </c>
      <c r="Z16" s="6"/>
      <c r="AA16" s="6"/>
      <c r="AB16" s="6"/>
    </row>
    <row r="17" spans="2:45" ht="11.25">
      <c r="B17" s="49" t="s">
        <v>43</v>
      </c>
      <c r="C17" s="70">
        <f>1943972.54+31956</f>
        <v>1975928.54</v>
      </c>
      <c r="D17" s="58">
        <f t="shared" si="8"/>
        <v>196156</v>
      </c>
      <c r="E17" s="5"/>
      <c r="F17" s="5"/>
      <c r="G17" s="5"/>
      <c r="H17" s="5">
        <f t="shared" si="0"/>
        <v>3744</v>
      </c>
      <c r="I17" s="5">
        <f t="shared" si="1"/>
        <v>186540</v>
      </c>
      <c r="J17" s="5">
        <f t="shared" si="2"/>
        <v>69450</v>
      </c>
      <c r="K17" s="5">
        <f t="shared" si="3"/>
        <v>27780</v>
      </c>
      <c r="L17" s="5">
        <f t="shared" si="4"/>
        <v>20820</v>
      </c>
      <c r="M17" s="5"/>
      <c r="N17" s="5">
        <f t="shared" si="5"/>
        <v>48000</v>
      </c>
      <c r="O17" s="5">
        <f>2663*$A$1</f>
        <v>15978</v>
      </c>
      <c r="P17" s="5"/>
      <c r="Q17" s="5"/>
      <c r="R17" s="33">
        <v>125000</v>
      </c>
      <c r="S17" s="33"/>
      <c r="T17" s="33">
        <v>152700</v>
      </c>
      <c r="U17" s="5"/>
      <c r="V17" s="14">
        <f t="shared" si="9"/>
        <v>39231.199999999997</v>
      </c>
      <c r="W17" s="14">
        <f t="shared" si="10"/>
        <v>11769.359999999999</v>
      </c>
      <c r="X17" s="42">
        <f t="shared" si="6"/>
        <v>897168.55999999994</v>
      </c>
      <c r="Y17" s="77">
        <f t="shared" si="7"/>
        <v>1078759.98</v>
      </c>
      <c r="Z17" s="6"/>
      <c r="AA17" s="6"/>
      <c r="AB17" s="6"/>
    </row>
    <row r="18" spans="2:45" ht="11.25">
      <c r="B18" s="49" t="s">
        <v>14</v>
      </c>
      <c r="C18" s="69">
        <f>(33987+624+31090+11575+4630+3470+8000+25000+28940+6797.49+2039.25)*12+(45776+22658.31+1700)+5.35</f>
        <v>1943972.54</v>
      </c>
      <c r="D18" s="58">
        <f t="shared" si="8"/>
        <v>196156</v>
      </c>
      <c r="E18" s="5"/>
      <c r="F18" s="5"/>
      <c r="G18" s="5"/>
      <c r="H18" s="5">
        <f>624*$A$1</f>
        <v>3744</v>
      </c>
      <c r="I18" s="5">
        <f>31090*$A$1</f>
        <v>186540</v>
      </c>
      <c r="J18" s="5">
        <f>11575*$A$1</f>
        <v>69450</v>
      </c>
      <c r="K18" s="5">
        <f>4630*$A$1</f>
        <v>27780</v>
      </c>
      <c r="L18" s="5">
        <f>3470*$A$1</f>
        <v>20820</v>
      </c>
      <c r="M18" s="5"/>
      <c r="N18" s="5">
        <f>8000*$A$1</f>
        <v>48000</v>
      </c>
      <c r="O18" s="5"/>
      <c r="P18" s="5"/>
      <c r="Q18" s="5"/>
      <c r="R18" s="33">
        <v>124722.91</v>
      </c>
      <c r="S18" s="33"/>
      <c r="T18" s="33">
        <v>146628.66</v>
      </c>
      <c r="U18" s="5"/>
      <c r="V18" s="14">
        <f t="shared" si="9"/>
        <v>39231.199999999997</v>
      </c>
      <c r="W18" s="14">
        <f t="shared" si="10"/>
        <v>11769.359999999999</v>
      </c>
      <c r="X18" s="42">
        <f t="shared" si="6"/>
        <v>874842.13</v>
      </c>
      <c r="Y18" s="77">
        <f t="shared" si="7"/>
        <v>1069130.4100000001</v>
      </c>
      <c r="Z18" s="6"/>
      <c r="AA18" s="7"/>
      <c r="AB18" s="7"/>
      <c r="AC18" s="1"/>
      <c r="AD18" s="1"/>
      <c r="AE18" s="1"/>
      <c r="AF18" s="1"/>
      <c r="AG18" s="1"/>
      <c r="AH18" s="1"/>
      <c r="AI18" s="1"/>
      <c r="AJ18" s="1"/>
      <c r="AK18" s="1"/>
      <c r="AL18" s="1"/>
      <c r="AM18" s="1"/>
      <c r="AN18" s="1"/>
      <c r="AO18" s="1"/>
      <c r="AP18" s="1"/>
      <c r="AQ18" s="1"/>
      <c r="AR18" s="1"/>
      <c r="AS18" s="1"/>
    </row>
    <row r="19" spans="2:45" ht="11.25">
      <c r="B19" s="49" t="s">
        <v>17</v>
      </c>
      <c r="C19" s="69">
        <f>(33987+624+31090+11575+4630+3470+8000+25000+28940+6797.49+2039.25)*12+(45776+22658.31+1700)+59512+5.35</f>
        <v>2003484.54</v>
      </c>
      <c r="D19" s="58">
        <f t="shared" si="8"/>
        <v>196156</v>
      </c>
      <c r="E19" s="5"/>
      <c r="F19" s="5"/>
      <c r="G19" s="5"/>
      <c r="H19" s="5">
        <f t="shared" si="0"/>
        <v>3744</v>
      </c>
      <c r="I19" s="5">
        <f t="shared" si="1"/>
        <v>186540</v>
      </c>
      <c r="J19" s="5">
        <f t="shared" si="2"/>
        <v>69450</v>
      </c>
      <c r="K19" s="5">
        <f t="shared" si="3"/>
        <v>27780</v>
      </c>
      <c r="L19" s="5">
        <f t="shared" si="4"/>
        <v>20820</v>
      </c>
      <c r="M19" s="5"/>
      <c r="N19" s="5">
        <f t="shared" si="5"/>
        <v>48000</v>
      </c>
      <c r="O19" s="5"/>
      <c r="P19" s="8"/>
      <c r="Q19" s="5">
        <f>14878*4</f>
        <v>59512</v>
      </c>
      <c r="R19" s="33">
        <v>125000</v>
      </c>
      <c r="S19" s="33"/>
      <c r="T19" s="33">
        <v>152700</v>
      </c>
      <c r="U19" s="5"/>
      <c r="V19" s="14">
        <f t="shared" si="9"/>
        <v>39231.199999999997</v>
      </c>
      <c r="W19" s="14">
        <f t="shared" si="10"/>
        <v>11769.359999999999</v>
      </c>
      <c r="X19" s="42">
        <f t="shared" ref="X19:X31" si="11">SUM(D19:W19)</f>
        <v>940702.55999999994</v>
      </c>
      <c r="Y19" s="77">
        <f t="shared" si="7"/>
        <v>1062781.98</v>
      </c>
      <c r="Z19" s="6"/>
      <c r="AA19" s="7"/>
      <c r="AB19" s="7"/>
      <c r="AC19" s="1"/>
      <c r="AD19" s="1"/>
      <c r="AE19" s="1"/>
      <c r="AF19" s="1"/>
      <c r="AG19" s="1"/>
      <c r="AH19" s="1"/>
      <c r="AI19" s="1"/>
      <c r="AJ19" s="1"/>
      <c r="AK19" s="1"/>
      <c r="AL19" s="1"/>
      <c r="AM19" s="1"/>
      <c r="AN19" s="1"/>
      <c r="AO19" s="1"/>
      <c r="AP19" s="1"/>
      <c r="AQ19" s="1"/>
      <c r="AR19" s="1"/>
      <c r="AS19" s="1"/>
    </row>
    <row r="20" spans="2:45" ht="11.25">
      <c r="B20" s="49" t="s">
        <v>19</v>
      </c>
      <c r="C20" s="70">
        <v>1943972.54</v>
      </c>
      <c r="D20" s="58">
        <f t="shared" si="8"/>
        <v>196156</v>
      </c>
      <c r="E20" s="5"/>
      <c r="F20" s="5"/>
      <c r="G20" s="5"/>
      <c r="H20" s="5">
        <f t="shared" si="0"/>
        <v>3744</v>
      </c>
      <c r="I20" s="5">
        <f t="shared" si="1"/>
        <v>186540</v>
      </c>
      <c r="J20" s="5">
        <f t="shared" si="2"/>
        <v>69450</v>
      </c>
      <c r="K20" s="5">
        <f t="shared" si="3"/>
        <v>27780</v>
      </c>
      <c r="L20" s="5">
        <f t="shared" si="4"/>
        <v>20820</v>
      </c>
      <c r="M20" s="5"/>
      <c r="N20" s="5">
        <f t="shared" si="5"/>
        <v>48000</v>
      </c>
      <c r="O20" s="5"/>
      <c r="P20" s="5"/>
      <c r="Q20" s="5"/>
      <c r="R20" s="33">
        <v>119999.7</v>
      </c>
      <c r="S20" s="33"/>
      <c r="T20" s="33">
        <v>150481.94</v>
      </c>
      <c r="U20" s="5"/>
      <c r="V20" s="14">
        <f t="shared" si="9"/>
        <v>39231.199999999997</v>
      </c>
      <c r="W20" s="14">
        <f t="shared" si="10"/>
        <v>11769.359999999999</v>
      </c>
      <c r="X20" s="42">
        <f t="shared" si="11"/>
        <v>873972.19999999984</v>
      </c>
      <c r="Y20" s="77">
        <f t="shared" si="7"/>
        <v>1070000.3400000003</v>
      </c>
      <c r="Z20" s="6"/>
      <c r="AA20" s="6"/>
      <c r="AB20" s="6"/>
    </row>
    <row r="21" spans="2:45" ht="11.25">
      <c r="B21" s="49" t="s">
        <v>21</v>
      </c>
      <c r="C21" s="70">
        <v>1943972.54</v>
      </c>
      <c r="D21" s="58">
        <f t="shared" si="8"/>
        <v>196156</v>
      </c>
      <c r="E21" s="5"/>
      <c r="F21" s="5"/>
      <c r="G21" s="5"/>
      <c r="H21" s="5">
        <f t="shared" si="0"/>
        <v>3744</v>
      </c>
      <c r="I21" s="5">
        <f t="shared" si="1"/>
        <v>186540</v>
      </c>
      <c r="J21" s="5">
        <f t="shared" si="2"/>
        <v>69450</v>
      </c>
      <c r="K21" s="5">
        <f t="shared" si="3"/>
        <v>27780</v>
      </c>
      <c r="L21" s="5">
        <f t="shared" si="4"/>
        <v>20820</v>
      </c>
      <c r="M21" s="5"/>
      <c r="N21" s="5">
        <f t="shared" si="5"/>
        <v>48000</v>
      </c>
      <c r="O21" s="5"/>
      <c r="P21" s="5"/>
      <c r="Q21" s="5"/>
      <c r="R21" s="33">
        <v>125000</v>
      </c>
      <c r="S21" s="33"/>
      <c r="T21" s="33">
        <v>146169.19</v>
      </c>
      <c r="U21" s="5"/>
      <c r="V21" s="14">
        <f t="shared" si="9"/>
        <v>39231.199999999997</v>
      </c>
      <c r="W21" s="14">
        <f t="shared" si="10"/>
        <v>11769.359999999999</v>
      </c>
      <c r="X21" s="42">
        <f t="shared" si="11"/>
        <v>874659.74999999988</v>
      </c>
      <c r="Y21" s="77">
        <f t="shared" si="7"/>
        <v>1069312.79</v>
      </c>
      <c r="Z21" s="6"/>
      <c r="AA21" s="6"/>
      <c r="AB21" s="6"/>
    </row>
    <row r="22" spans="2:45" ht="11.25">
      <c r="B22" s="49" t="s">
        <v>24</v>
      </c>
      <c r="C22" s="70">
        <f>1943972.54+32000</f>
        <v>1975972.54</v>
      </c>
      <c r="D22" s="58">
        <f t="shared" si="8"/>
        <v>196156</v>
      </c>
      <c r="E22" s="5"/>
      <c r="F22" s="5"/>
      <c r="G22" s="5"/>
      <c r="H22" s="5">
        <f t="shared" si="0"/>
        <v>3744</v>
      </c>
      <c r="I22" s="5">
        <f t="shared" si="1"/>
        <v>186540</v>
      </c>
      <c r="J22" s="5">
        <f t="shared" si="2"/>
        <v>69450</v>
      </c>
      <c r="K22" s="5">
        <f t="shared" si="3"/>
        <v>27780</v>
      </c>
      <c r="L22" s="5">
        <f t="shared" si="4"/>
        <v>20820</v>
      </c>
      <c r="M22" s="5"/>
      <c r="N22" s="5">
        <f t="shared" si="5"/>
        <v>48000</v>
      </c>
      <c r="O22" s="5">
        <f>4000*2</f>
        <v>8000</v>
      </c>
      <c r="P22" s="5"/>
      <c r="Q22" s="5"/>
      <c r="R22" s="33">
        <v>125000</v>
      </c>
      <c r="S22" s="33"/>
      <c r="T22" s="33">
        <v>152700</v>
      </c>
      <c r="U22" s="5"/>
      <c r="V22" s="14">
        <f t="shared" si="9"/>
        <v>39231.199999999997</v>
      </c>
      <c r="W22" s="14">
        <f t="shared" si="10"/>
        <v>11769.359999999999</v>
      </c>
      <c r="X22" s="42">
        <f t="shared" si="11"/>
        <v>889190.55999999994</v>
      </c>
      <c r="Y22" s="77">
        <f t="shared" si="7"/>
        <v>1086781.98</v>
      </c>
      <c r="Z22" s="6"/>
      <c r="AA22" s="6"/>
      <c r="AB22" s="6"/>
    </row>
    <row r="23" spans="2:45" ht="11.25">
      <c r="B23" s="49" t="s">
        <v>39</v>
      </c>
      <c r="C23" s="70">
        <v>1943972.54</v>
      </c>
      <c r="D23" s="58">
        <f t="shared" si="8"/>
        <v>196156</v>
      </c>
      <c r="E23" s="5"/>
      <c r="F23" s="5"/>
      <c r="G23" s="5"/>
      <c r="H23" s="5">
        <f t="shared" si="0"/>
        <v>3744</v>
      </c>
      <c r="I23" s="5">
        <f t="shared" si="1"/>
        <v>186540</v>
      </c>
      <c r="J23" s="5">
        <f t="shared" si="2"/>
        <v>69450</v>
      </c>
      <c r="K23" s="5">
        <f t="shared" si="3"/>
        <v>27780</v>
      </c>
      <c r="L23" s="5">
        <f t="shared" si="4"/>
        <v>20820</v>
      </c>
      <c r="M23" s="5"/>
      <c r="N23" s="5">
        <f t="shared" si="5"/>
        <v>48000</v>
      </c>
      <c r="O23" s="5"/>
      <c r="P23" s="5"/>
      <c r="Q23" s="5"/>
      <c r="R23" s="33">
        <f>72600.99+5399.72</f>
        <v>78000.710000000006</v>
      </c>
      <c r="S23" s="33"/>
      <c r="T23" s="33">
        <v>64891.99</v>
      </c>
      <c r="U23" s="5"/>
      <c r="V23" s="14">
        <f t="shared" si="9"/>
        <v>39231.199999999997</v>
      </c>
      <c r="W23" s="14">
        <f t="shared" si="10"/>
        <v>11769.359999999999</v>
      </c>
      <c r="X23" s="42">
        <f t="shared" si="11"/>
        <v>746383.25999999989</v>
      </c>
      <c r="Y23" s="77">
        <f t="shared" si="7"/>
        <v>1197589.2800000003</v>
      </c>
      <c r="Z23" s="6"/>
      <c r="AA23" s="6"/>
      <c r="AB23" s="6"/>
    </row>
    <row r="24" spans="2:45" ht="11.25">
      <c r="B24" s="49" t="s">
        <v>42</v>
      </c>
      <c r="C24" s="70">
        <v>1943972.54</v>
      </c>
      <c r="D24" s="58">
        <f t="shared" si="8"/>
        <v>196156</v>
      </c>
      <c r="E24" s="5"/>
      <c r="F24" s="5"/>
      <c r="G24" s="5"/>
      <c r="H24" s="5">
        <f t="shared" si="0"/>
        <v>3744</v>
      </c>
      <c r="I24" s="5">
        <f t="shared" si="1"/>
        <v>186540</v>
      </c>
      <c r="J24" s="5">
        <f t="shared" si="2"/>
        <v>69450</v>
      </c>
      <c r="K24" s="5">
        <f t="shared" si="3"/>
        <v>27780</v>
      </c>
      <c r="L24" s="5">
        <f t="shared" si="4"/>
        <v>20820</v>
      </c>
      <c r="M24" s="5"/>
      <c r="N24" s="5">
        <f t="shared" si="5"/>
        <v>48000</v>
      </c>
      <c r="O24" s="5"/>
      <c r="P24" s="5"/>
      <c r="Q24" s="5"/>
      <c r="R24" s="33">
        <v>125000</v>
      </c>
      <c r="S24" s="33"/>
      <c r="T24" s="33">
        <v>152700</v>
      </c>
      <c r="U24" s="5"/>
      <c r="V24" s="14">
        <f t="shared" si="9"/>
        <v>39231.199999999997</v>
      </c>
      <c r="W24" s="14">
        <f t="shared" si="10"/>
        <v>11769.359999999999</v>
      </c>
      <c r="X24" s="42">
        <f t="shared" si="11"/>
        <v>881190.55999999994</v>
      </c>
      <c r="Y24" s="77">
        <f t="shared" si="7"/>
        <v>1062781.98</v>
      </c>
      <c r="Z24" s="6"/>
      <c r="AA24" s="6"/>
      <c r="AB24" s="6"/>
    </row>
    <row r="25" spans="2:45" ht="11.25">
      <c r="B25" s="49" t="s">
        <v>44</v>
      </c>
      <c r="C25" s="70">
        <v>1943972.54</v>
      </c>
      <c r="D25" s="58">
        <f t="shared" si="8"/>
        <v>196156</v>
      </c>
      <c r="E25" s="5"/>
      <c r="F25" s="5"/>
      <c r="G25" s="5"/>
      <c r="H25" s="5">
        <f t="shared" si="0"/>
        <v>3744</v>
      </c>
      <c r="I25" s="5">
        <f t="shared" si="1"/>
        <v>186540</v>
      </c>
      <c r="J25" s="5">
        <f t="shared" si="2"/>
        <v>69450</v>
      </c>
      <c r="K25" s="5">
        <f t="shared" si="3"/>
        <v>27780</v>
      </c>
      <c r="L25" s="5">
        <f t="shared" si="4"/>
        <v>20820</v>
      </c>
      <c r="M25" s="5"/>
      <c r="N25" s="5">
        <f t="shared" si="5"/>
        <v>48000</v>
      </c>
      <c r="O25" s="5"/>
      <c r="P25" s="5"/>
      <c r="Q25" s="5"/>
      <c r="R25" s="33">
        <v>125000</v>
      </c>
      <c r="S25" s="33"/>
      <c r="T25" s="33">
        <v>152131.66</v>
      </c>
      <c r="U25" s="5"/>
      <c r="V25" s="14">
        <f t="shared" si="9"/>
        <v>39231.199999999997</v>
      </c>
      <c r="W25" s="14">
        <f t="shared" si="10"/>
        <v>11769.359999999999</v>
      </c>
      <c r="X25" s="42">
        <f t="shared" si="11"/>
        <v>880622.22</v>
      </c>
      <c r="Y25" s="77">
        <f t="shared" si="7"/>
        <v>1063350.32</v>
      </c>
      <c r="Z25" s="6"/>
      <c r="AA25" s="6"/>
      <c r="AB25" s="6"/>
    </row>
    <row r="26" spans="2:45" ht="11.25">
      <c r="B26" s="50" t="s">
        <v>2</v>
      </c>
      <c r="C26" s="63"/>
      <c r="D26" s="58"/>
      <c r="E26" s="5"/>
      <c r="F26" s="5"/>
      <c r="G26" s="5"/>
      <c r="H26" s="5"/>
      <c r="I26" s="5"/>
      <c r="J26" s="5"/>
      <c r="K26" s="5"/>
      <c r="L26" s="5"/>
      <c r="M26" s="5"/>
      <c r="N26" s="5"/>
      <c r="O26" s="5"/>
      <c r="P26" s="5"/>
      <c r="Q26" s="5"/>
      <c r="R26" s="33"/>
      <c r="S26" s="33"/>
      <c r="T26" s="33"/>
      <c r="U26" s="5"/>
      <c r="V26" s="14"/>
      <c r="W26" s="14"/>
      <c r="X26" s="42"/>
      <c r="Y26" s="77"/>
      <c r="Z26" s="6"/>
      <c r="AA26" s="6"/>
      <c r="AB26" s="6"/>
    </row>
    <row r="27" spans="2:45" ht="11.25">
      <c r="B27" s="49" t="s">
        <v>15</v>
      </c>
      <c r="C27" s="70">
        <f>1943972.54+(4650*12)</f>
        <v>1999772.54</v>
      </c>
      <c r="D27" s="58">
        <f t="shared" ref="D27:D31" si="12">(32369*4)+(33340*2)</f>
        <v>196156</v>
      </c>
      <c r="E27" s="5"/>
      <c r="F27" s="5"/>
      <c r="G27" s="5"/>
      <c r="H27" s="5">
        <f t="shared" si="0"/>
        <v>3744</v>
      </c>
      <c r="I27" s="5">
        <f t="shared" si="1"/>
        <v>186540</v>
      </c>
      <c r="J27" s="5">
        <f t="shared" si="2"/>
        <v>69450</v>
      </c>
      <c r="K27" s="5">
        <f t="shared" si="3"/>
        <v>27780</v>
      </c>
      <c r="L27" s="5">
        <f t="shared" si="4"/>
        <v>20820</v>
      </c>
      <c r="M27" s="5"/>
      <c r="N27" s="5">
        <f t="shared" si="5"/>
        <v>48000</v>
      </c>
      <c r="O27" s="5"/>
      <c r="P27" s="8"/>
      <c r="Q27" s="5">
        <f>4650*$A$1</f>
        <v>27900</v>
      </c>
      <c r="R27" s="33">
        <v>123908.93</v>
      </c>
      <c r="S27" s="33"/>
      <c r="T27" s="33">
        <v>152500</v>
      </c>
      <c r="U27" s="5"/>
      <c r="V27" s="14">
        <f t="shared" si="9"/>
        <v>39231.199999999997</v>
      </c>
      <c r="W27" s="14">
        <f t="shared" si="10"/>
        <v>11769.359999999999</v>
      </c>
      <c r="X27" s="42">
        <f t="shared" si="11"/>
        <v>907799.48999999987</v>
      </c>
      <c r="Y27" s="77">
        <f>C27-X27</f>
        <v>1091973.0500000003</v>
      </c>
      <c r="Z27" s="6"/>
      <c r="AA27" s="6"/>
      <c r="AB27" s="6"/>
    </row>
    <row r="28" spans="2:45" ht="11.25">
      <c r="B28" s="49" t="s">
        <v>47</v>
      </c>
      <c r="C28" s="70">
        <f>1943972.54+(4000*12)</f>
        <v>1991972.54</v>
      </c>
      <c r="D28" s="58">
        <f t="shared" si="12"/>
        <v>196156</v>
      </c>
      <c r="E28" s="5"/>
      <c r="F28" s="5"/>
      <c r="G28" s="5"/>
      <c r="H28" s="5">
        <f t="shared" si="0"/>
        <v>3744</v>
      </c>
      <c r="I28" s="5">
        <f t="shared" si="1"/>
        <v>186540</v>
      </c>
      <c r="J28" s="5">
        <f t="shared" si="2"/>
        <v>69450</v>
      </c>
      <c r="K28" s="5">
        <f t="shared" si="3"/>
        <v>27780</v>
      </c>
      <c r="L28" s="5">
        <f t="shared" si="4"/>
        <v>20820</v>
      </c>
      <c r="M28" s="5"/>
      <c r="N28" s="5">
        <f t="shared" si="5"/>
        <v>48000</v>
      </c>
      <c r="O28" s="5">
        <f>4000*$A$1</f>
        <v>24000</v>
      </c>
      <c r="P28" s="5"/>
      <c r="Q28" s="5"/>
      <c r="R28" s="33">
        <v>125000</v>
      </c>
      <c r="S28" s="33"/>
      <c r="T28" s="33">
        <v>152280</v>
      </c>
      <c r="U28" s="5"/>
      <c r="V28" s="14">
        <f t="shared" si="9"/>
        <v>39231.199999999997</v>
      </c>
      <c r="W28" s="14">
        <f t="shared" si="10"/>
        <v>11769.359999999999</v>
      </c>
      <c r="X28" s="42">
        <f t="shared" si="11"/>
        <v>904770.55999999994</v>
      </c>
      <c r="Y28" s="77">
        <f>C28-X28</f>
        <v>1087201.98</v>
      </c>
      <c r="Z28" s="6"/>
      <c r="AA28" s="6"/>
      <c r="AB28" s="6"/>
    </row>
    <row r="29" spans="2:45" ht="11.25">
      <c r="B29" s="49" t="s">
        <v>22</v>
      </c>
      <c r="C29" s="70">
        <v>1943972.54</v>
      </c>
      <c r="D29" s="58">
        <f t="shared" si="12"/>
        <v>196156</v>
      </c>
      <c r="E29" s="5"/>
      <c r="F29" s="5"/>
      <c r="G29" s="5"/>
      <c r="H29" s="5">
        <f t="shared" si="0"/>
        <v>3744</v>
      </c>
      <c r="I29" s="5">
        <f t="shared" si="1"/>
        <v>186540</v>
      </c>
      <c r="J29" s="5">
        <f t="shared" si="2"/>
        <v>69450</v>
      </c>
      <c r="K29" s="5">
        <f t="shared" si="3"/>
        <v>27780</v>
      </c>
      <c r="L29" s="5">
        <f t="shared" si="4"/>
        <v>20820</v>
      </c>
      <c r="M29" s="5"/>
      <c r="N29" s="5">
        <f t="shared" si="5"/>
        <v>48000</v>
      </c>
      <c r="O29" s="5"/>
      <c r="P29" s="5"/>
      <c r="Q29" s="5"/>
      <c r="R29" s="33">
        <v>125000</v>
      </c>
      <c r="S29" s="33"/>
      <c r="T29" s="33">
        <v>152700</v>
      </c>
      <c r="U29" s="5"/>
      <c r="V29" s="14">
        <f t="shared" si="9"/>
        <v>39231.199999999997</v>
      </c>
      <c r="W29" s="14">
        <f t="shared" si="10"/>
        <v>11769.359999999999</v>
      </c>
      <c r="X29" s="42">
        <f t="shared" si="11"/>
        <v>881190.55999999994</v>
      </c>
      <c r="Y29" s="77">
        <f>C29-X29</f>
        <v>1062781.98</v>
      </c>
      <c r="Z29" s="6"/>
      <c r="AA29" s="6"/>
      <c r="AB29" s="6"/>
    </row>
    <row r="30" spans="2:45" ht="11.25">
      <c r="B30" s="49" t="s">
        <v>36</v>
      </c>
      <c r="C30" s="70">
        <f>1943972.54+(15050*12)+(10000*12)</f>
        <v>2244572.54</v>
      </c>
      <c r="D30" s="58">
        <f t="shared" si="12"/>
        <v>196156</v>
      </c>
      <c r="E30" s="5"/>
      <c r="F30" s="5"/>
      <c r="G30" s="5"/>
      <c r="H30" s="5">
        <f t="shared" si="0"/>
        <v>3744</v>
      </c>
      <c r="I30" s="5">
        <f t="shared" si="1"/>
        <v>186540</v>
      </c>
      <c r="J30" s="5">
        <f t="shared" si="2"/>
        <v>69450</v>
      </c>
      <c r="K30" s="5">
        <f t="shared" si="3"/>
        <v>27780</v>
      </c>
      <c r="L30" s="5">
        <f t="shared" si="4"/>
        <v>20820</v>
      </c>
      <c r="M30" s="5"/>
      <c r="N30" s="5">
        <f t="shared" si="5"/>
        <v>48000</v>
      </c>
      <c r="O30" s="5"/>
      <c r="P30" s="5">
        <f>15050*$A$1</f>
        <v>90300</v>
      </c>
      <c r="Q30" s="5"/>
      <c r="R30" s="83">
        <v>175000</v>
      </c>
      <c r="S30" s="83"/>
      <c r="T30" s="33">
        <v>152700</v>
      </c>
      <c r="U30" s="5"/>
      <c r="V30" s="14">
        <f t="shared" si="9"/>
        <v>39231.199999999997</v>
      </c>
      <c r="W30" s="14">
        <f t="shared" si="10"/>
        <v>11769.359999999999</v>
      </c>
      <c r="X30" s="42">
        <f t="shared" si="11"/>
        <v>1021490.5599999999</v>
      </c>
      <c r="Y30" s="77">
        <f>C30-X30</f>
        <v>1223081.98</v>
      </c>
      <c r="Z30" s="6"/>
      <c r="AA30" s="6"/>
      <c r="AB30" s="6"/>
    </row>
    <row r="31" spans="2:45" ht="11.25">
      <c r="B31" s="49" t="s">
        <v>37</v>
      </c>
      <c r="C31" s="70">
        <f>1943972.54+(2663*12)</f>
        <v>1975928.54</v>
      </c>
      <c r="D31" s="58">
        <f t="shared" si="12"/>
        <v>196156</v>
      </c>
      <c r="E31" s="5"/>
      <c r="F31" s="5"/>
      <c r="G31" s="5"/>
      <c r="H31" s="5">
        <f t="shared" si="0"/>
        <v>3744</v>
      </c>
      <c r="I31" s="5">
        <f t="shared" si="1"/>
        <v>186540</v>
      </c>
      <c r="J31" s="5">
        <f t="shared" si="2"/>
        <v>69450</v>
      </c>
      <c r="K31" s="5">
        <f t="shared" si="3"/>
        <v>27780</v>
      </c>
      <c r="L31" s="5">
        <f t="shared" si="4"/>
        <v>20820</v>
      </c>
      <c r="M31" s="5"/>
      <c r="N31" s="5">
        <f t="shared" si="5"/>
        <v>48000</v>
      </c>
      <c r="O31" s="5">
        <f>2663*$A$1</f>
        <v>15978</v>
      </c>
      <c r="P31" s="5"/>
      <c r="Q31" s="5"/>
      <c r="R31" s="33">
        <v>125000</v>
      </c>
      <c r="S31" s="33"/>
      <c r="T31" s="33">
        <v>151690</v>
      </c>
      <c r="U31" s="5"/>
      <c r="V31" s="14">
        <f t="shared" si="9"/>
        <v>39231.199999999997</v>
      </c>
      <c r="W31" s="14">
        <f t="shared" si="10"/>
        <v>11769.359999999999</v>
      </c>
      <c r="X31" s="42">
        <f t="shared" si="11"/>
        <v>896158.55999999994</v>
      </c>
      <c r="Y31" s="77">
        <f>C31-X31</f>
        <v>1079769.98</v>
      </c>
      <c r="Z31" s="6"/>
      <c r="AA31" s="6"/>
      <c r="AB31" s="6"/>
    </row>
    <row r="32" spans="2:45" ht="11.25">
      <c r="B32" s="50" t="s">
        <v>4</v>
      </c>
      <c r="C32" s="63"/>
      <c r="D32" s="58"/>
      <c r="E32" s="5"/>
      <c r="F32" s="5"/>
      <c r="G32" s="5"/>
      <c r="H32" s="5"/>
      <c r="I32" s="5"/>
      <c r="J32" s="5"/>
      <c r="K32" s="5"/>
      <c r="L32" s="5"/>
      <c r="M32" s="5"/>
      <c r="N32" s="5"/>
      <c r="O32" s="5"/>
      <c r="P32" s="5"/>
      <c r="Q32" s="5"/>
      <c r="R32" s="33"/>
      <c r="S32" s="33"/>
      <c r="T32" s="33"/>
      <c r="U32" s="5"/>
      <c r="V32" s="14"/>
      <c r="W32" s="14"/>
      <c r="X32" s="42"/>
      <c r="Y32" s="77"/>
      <c r="Z32" s="6"/>
      <c r="AA32" s="6"/>
      <c r="AB32" s="6"/>
    </row>
    <row r="33" spans="2:28" ht="11.25">
      <c r="B33" s="49" t="s">
        <v>25</v>
      </c>
      <c r="C33" s="70">
        <f>1943972.54+(9030*12)+(5000*12)</f>
        <v>2112332.54</v>
      </c>
      <c r="D33" s="58">
        <f t="shared" ref="D33:D35" si="13">(32369*4)+(33340*2)</f>
        <v>196156</v>
      </c>
      <c r="E33" s="5"/>
      <c r="F33" s="5"/>
      <c r="G33" s="5"/>
      <c r="H33" s="5">
        <f t="shared" si="0"/>
        <v>3744</v>
      </c>
      <c r="I33" s="5">
        <f t="shared" si="1"/>
        <v>186540</v>
      </c>
      <c r="J33" s="5">
        <f t="shared" si="2"/>
        <v>69450</v>
      </c>
      <c r="K33" s="5">
        <f t="shared" si="3"/>
        <v>27780</v>
      </c>
      <c r="L33" s="5">
        <f t="shared" si="4"/>
        <v>20820</v>
      </c>
      <c r="M33" s="5"/>
      <c r="N33" s="5">
        <f t="shared" si="5"/>
        <v>48000</v>
      </c>
      <c r="O33" s="5"/>
      <c r="P33" s="5">
        <f>9030*$A$1</f>
        <v>54180</v>
      </c>
      <c r="Q33" s="5"/>
      <c r="R33" s="33">
        <v>150000</v>
      </c>
      <c r="S33" s="33"/>
      <c r="T33" s="33">
        <v>150660.4</v>
      </c>
      <c r="U33" s="5"/>
      <c r="V33" s="14">
        <f t="shared" si="9"/>
        <v>39231.199999999997</v>
      </c>
      <c r="W33" s="14">
        <f t="shared" si="10"/>
        <v>11769.359999999999</v>
      </c>
      <c r="X33" s="42">
        <f t="shared" ref="X33:X50" si="14">SUM(D33:W33)</f>
        <v>958330.96</v>
      </c>
      <c r="Y33" s="77">
        <f>C33-X33</f>
        <v>1154001.58</v>
      </c>
      <c r="Z33" s="6"/>
      <c r="AA33" s="6"/>
      <c r="AB33" s="6"/>
    </row>
    <row r="34" spans="2:28" ht="11.25">
      <c r="B34" s="49" t="s">
        <v>26</v>
      </c>
      <c r="C34" s="70">
        <f>1943972.54+(2663*12)+(2790*12)</f>
        <v>2009408.54</v>
      </c>
      <c r="D34" s="58">
        <f t="shared" si="13"/>
        <v>196156</v>
      </c>
      <c r="E34" s="5"/>
      <c r="F34" s="5"/>
      <c r="G34" s="5"/>
      <c r="H34" s="5">
        <f t="shared" si="0"/>
        <v>3744</v>
      </c>
      <c r="I34" s="5">
        <f t="shared" si="1"/>
        <v>186540</v>
      </c>
      <c r="J34" s="5">
        <f t="shared" si="2"/>
        <v>69450</v>
      </c>
      <c r="K34" s="5">
        <f t="shared" si="3"/>
        <v>27780</v>
      </c>
      <c r="L34" s="5">
        <f t="shared" si="4"/>
        <v>20820</v>
      </c>
      <c r="M34" s="5"/>
      <c r="N34" s="5">
        <f t="shared" si="5"/>
        <v>48000</v>
      </c>
      <c r="O34" s="19">
        <f>2663*$A$1</f>
        <v>15978</v>
      </c>
      <c r="P34" s="32"/>
      <c r="Q34" s="19">
        <f>2790*$A$1</f>
        <v>16740</v>
      </c>
      <c r="R34" s="33">
        <v>125000</v>
      </c>
      <c r="S34" s="33"/>
      <c r="T34" s="33">
        <v>151128.60999999999</v>
      </c>
      <c r="U34" s="5"/>
      <c r="V34" s="14">
        <f t="shared" si="9"/>
        <v>39231.199999999997</v>
      </c>
      <c r="W34" s="14">
        <f t="shared" si="10"/>
        <v>11769.359999999999</v>
      </c>
      <c r="X34" s="42">
        <f t="shared" si="14"/>
        <v>912337.16999999993</v>
      </c>
      <c r="Y34" s="77">
        <f>C34-X34</f>
        <v>1097071.3700000001</v>
      </c>
      <c r="Z34" s="6"/>
      <c r="AA34" s="6"/>
      <c r="AB34" s="6"/>
    </row>
    <row r="35" spans="2:28" ht="11.25">
      <c r="B35" s="49" t="s">
        <v>27</v>
      </c>
      <c r="C35" s="70">
        <v>1943972.54</v>
      </c>
      <c r="D35" s="58">
        <f t="shared" si="13"/>
        <v>196156</v>
      </c>
      <c r="E35" s="5"/>
      <c r="F35" s="5"/>
      <c r="G35" s="5"/>
      <c r="H35" s="5">
        <f t="shared" si="0"/>
        <v>3744</v>
      </c>
      <c r="I35" s="5">
        <f t="shared" si="1"/>
        <v>186540</v>
      </c>
      <c r="J35" s="5">
        <f t="shared" si="2"/>
        <v>69450</v>
      </c>
      <c r="K35" s="5">
        <f t="shared" si="3"/>
        <v>27780</v>
      </c>
      <c r="L35" s="5">
        <f t="shared" si="4"/>
        <v>20820</v>
      </c>
      <c r="M35" s="5"/>
      <c r="N35" s="5">
        <f t="shared" si="5"/>
        <v>48000</v>
      </c>
      <c r="O35" s="5"/>
      <c r="P35" s="5"/>
      <c r="Q35" s="5"/>
      <c r="R35" s="33">
        <v>125000</v>
      </c>
      <c r="S35" s="33"/>
      <c r="T35" s="33">
        <v>148636.44</v>
      </c>
      <c r="U35" s="5"/>
      <c r="V35" s="14">
        <f t="shared" si="9"/>
        <v>39231.199999999997</v>
      </c>
      <c r="W35" s="14">
        <f t="shared" si="10"/>
        <v>11769.359999999999</v>
      </c>
      <c r="X35" s="42">
        <f t="shared" si="14"/>
        <v>877126.99999999988</v>
      </c>
      <c r="Y35" s="77">
        <f>C35-X35</f>
        <v>1066845.54</v>
      </c>
      <c r="Z35" s="6"/>
      <c r="AA35" s="6"/>
      <c r="AB35" s="6"/>
    </row>
    <row r="36" spans="2:28" ht="11.25">
      <c r="B36" s="51" t="s">
        <v>6</v>
      </c>
      <c r="C36" s="64"/>
      <c r="D36" s="58"/>
      <c r="E36" s="5"/>
      <c r="F36" s="5"/>
      <c r="G36" s="5"/>
      <c r="H36" s="5"/>
      <c r="I36" s="5"/>
      <c r="J36" s="5"/>
      <c r="K36" s="5"/>
      <c r="L36" s="5"/>
      <c r="M36" s="5"/>
      <c r="N36" s="5"/>
      <c r="O36" s="5"/>
      <c r="P36" s="5"/>
      <c r="Q36" s="5"/>
      <c r="R36" s="33"/>
      <c r="S36" s="33"/>
      <c r="T36" s="33"/>
      <c r="U36" s="5"/>
      <c r="V36" s="14"/>
      <c r="W36" s="14"/>
      <c r="X36" s="42"/>
      <c r="Y36" s="77"/>
      <c r="Z36" s="6"/>
      <c r="AA36" s="6"/>
      <c r="AB36" s="6"/>
    </row>
    <row r="37" spans="2:28" ht="11.25">
      <c r="B37" s="49" t="s">
        <v>7</v>
      </c>
      <c r="C37" s="70">
        <f>1943972.54+(6017*12)+7.03</f>
        <v>2016183.57</v>
      </c>
      <c r="D37" s="58">
        <f t="shared" ref="D37:D38" si="15">(32369*4)+(33340*2)</f>
        <v>196156</v>
      </c>
      <c r="E37" s="5"/>
      <c r="F37" s="5"/>
      <c r="G37" s="5"/>
      <c r="H37" s="5">
        <f t="shared" si="0"/>
        <v>3744</v>
      </c>
      <c r="I37" s="5">
        <f t="shared" si="1"/>
        <v>186540</v>
      </c>
      <c r="J37" s="5">
        <f t="shared" si="2"/>
        <v>69450</v>
      </c>
      <c r="K37" s="5">
        <f t="shared" si="3"/>
        <v>27780</v>
      </c>
      <c r="L37" s="5">
        <f t="shared" si="4"/>
        <v>20820</v>
      </c>
      <c r="M37" s="5"/>
      <c r="N37" s="5">
        <f t="shared" si="5"/>
        <v>48000</v>
      </c>
      <c r="O37" s="5"/>
      <c r="P37" s="5">
        <f>6017*$A$1</f>
        <v>36102</v>
      </c>
      <c r="Q37" s="5"/>
      <c r="R37" s="33">
        <v>125000</v>
      </c>
      <c r="S37" s="33"/>
      <c r="T37" s="33">
        <v>152044.72</v>
      </c>
      <c r="U37" s="5"/>
      <c r="V37" s="14">
        <f t="shared" si="9"/>
        <v>39231.199999999997</v>
      </c>
      <c r="W37" s="14">
        <f t="shared" si="10"/>
        <v>11769.359999999999</v>
      </c>
      <c r="X37" s="42">
        <f t="shared" si="14"/>
        <v>916637.27999999991</v>
      </c>
      <c r="Y37" s="77">
        <f>C37-X37</f>
        <v>1099546.29</v>
      </c>
      <c r="Z37" s="6"/>
      <c r="AA37" s="6"/>
      <c r="AB37" s="6"/>
    </row>
    <row r="38" spans="2:28" ht="11.25">
      <c r="B38" s="49" t="s">
        <v>31</v>
      </c>
      <c r="C38" s="70">
        <f>1943972.54+(2663*12)+(1859*12)</f>
        <v>1998236.54</v>
      </c>
      <c r="D38" s="58">
        <f t="shared" si="15"/>
        <v>196156</v>
      </c>
      <c r="E38" s="5"/>
      <c r="F38" s="5"/>
      <c r="G38" s="5"/>
      <c r="H38" s="5">
        <f t="shared" si="0"/>
        <v>3744</v>
      </c>
      <c r="I38" s="5">
        <f t="shared" si="1"/>
        <v>186540</v>
      </c>
      <c r="J38" s="5">
        <f t="shared" si="2"/>
        <v>69450</v>
      </c>
      <c r="K38" s="5">
        <f t="shared" si="3"/>
        <v>27780</v>
      </c>
      <c r="L38" s="5">
        <f t="shared" si="4"/>
        <v>20820</v>
      </c>
      <c r="M38" s="5"/>
      <c r="N38" s="5">
        <f t="shared" si="5"/>
        <v>48000</v>
      </c>
      <c r="O38" s="19">
        <f>2663*$A$1</f>
        <v>15978</v>
      </c>
      <c r="P38" s="32"/>
      <c r="Q38" s="19">
        <f>1859*$A$1</f>
        <v>11154</v>
      </c>
      <c r="R38" s="33">
        <v>125000</v>
      </c>
      <c r="S38" s="33"/>
      <c r="T38" s="33">
        <v>152651.99</v>
      </c>
      <c r="U38" s="5"/>
      <c r="V38" s="14">
        <f t="shared" si="9"/>
        <v>39231.199999999997</v>
      </c>
      <c r="W38" s="14">
        <f t="shared" si="10"/>
        <v>11769.359999999999</v>
      </c>
      <c r="X38" s="42">
        <f t="shared" si="14"/>
        <v>908274.54999999993</v>
      </c>
      <c r="Y38" s="77">
        <f>C38-X38</f>
        <v>1089961.9900000002</v>
      </c>
      <c r="Z38" s="6"/>
      <c r="AA38" s="6"/>
      <c r="AB38" s="6"/>
    </row>
    <row r="39" spans="2:28" ht="11.25">
      <c r="B39" s="50" t="s">
        <v>1</v>
      </c>
      <c r="C39" s="63"/>
      <c r="D39" s="58"/>
      <c r="E39" s="5"/>
      <c r="F39" s="5"/>
      <c r="G39" s="5"/>
      <c r="H39" s="5"/>
      <c r="I39" s="5"/>
      <c r="J39" s="5"/>
      <c r="K39" s="5"/>
      <c r="L39" s="5"/>
      <c r="M39" s="5"/>
      <c r="N39" s="5"/>
      <c r="O39" s="19"/>
      <c r="P39" s="19"/>
      <c r="Q39" s="19"/>
      <c r="R39" s="33"/>
      <c r="S39" s="33"/>
      <c r="T39" s="33"/>
      <c r="U39" s="5"/>
      <c r="V39" s="14"/>
      <c r="W39" s="14"/>
      <c r="X39" s="42"/>
      <c r="Y39" s="77"/>
      <c r="Z39" s="6"/>
      <c r="AA39" s="6"/>
      <c r="AB39" s="6"/>
    </row>
    <row r="40" spans="2:28" ht="11.25">
      <c r="B40" s="49" t="s">
        <v>34</v>
      </c>
      <c r="C40" s="70">
        <f>1943972.54+(1859*12)</f>
        <v>1966280.54</v>
      </c>
      <c r="D40" s="58">
        <f t="shared" ref="D40:D41" si="16">(32369*4)+(33340*2)</f>
        <v>196156</v>
      </c>
      <c r="E40" s="5"/>
      <c r="F40" s="5"/>
      <c r="G40" s="5"/>
      <c r="H40" s="5">
        <f t="shared" si="0"/>
        <v>3744</v>
      </c>
      <c r="I40" s="5">
        <f t="shared" si="1"/>
        <v>186540</v>
      </c>
      <c r="J40" s="5">
        <f t="shared" si="2"/>
        <v>69450</v>
      </c>
      <c r="K40" s="5">
        <f t="shared" si="3"/>
        <v>27780</v>
      </c>
      <c r="L40" s="5">
        <f t="shared" si="4"/>
        <v>20820</v>
      </c>
      <c r="M40" s="5"/>
      <c r="N40" s="5">
        <f t="shared" si="5"/>
        <v>48000</v>
      </c>
      <c r="O40" s="19"/>
      <c r="P40" s="32"/>
      <c r="Q40" s="19">
        <f>1859*$A$1</f>
        <v>11154</v>
      </c>
      <c r="R40" s="33">
        <v>50109.43</v>
      </c>
      <c r="S40" s="33"/>
      <c r="T40" s="33">
        <v>54370</v>
      </c>
      <c r="U40" s="5"/>
      <c r="V40" s="14">
        <f t="shared" si="9"/>
        <v>39231.199999999997</v>
      </c>
      <c r="W40" s="14">
        <f t="shared" si="10"/>
        <v>11769.359999999999</v>
      </c>
      <c r="X40" s="42">
        <f>SUM(D40:W40)</f>
        <v>719123.99</v>
      </c>
      <c r="Y40" s="77">
        <f>C40-X40</f>
        <v>1247156.55</v>
      </c>
      <c r="Z40" s="6"/>
      <c r="AA40" s="6"/>
      <c r="AB40" s="6"/>
    </row>
    <row r="41" spans="2:28" ht="11.25">
      <c r="B41" s="49" t="s">
        <v>33</v>
      </c>
      <c r="C41" s="70">
        <f>1943972.54+(6017*12)</f>
        <v>2016176.54</v>
      </c>
      <c r="D41" s="58">
        <f t="shared" si="16"/>
        <v>196156</v>
      </c>
      <c r="E41" s="5"/>
      <c r="F41" s="5"/>
      <c r="G41" s="5"/>
      <c r="H41" s="5">
        <f t="shared" si="0"/>
        <v>3744</v>
      </c>
      <c r="I41" s="5">
        <f t="shared" si="1"/>
        <v>186540</v>
      </c>
      <c r="J41" s="5">
        <f t="shared" si="2"/>
        <v>69450</v>
      </c>
      <c r="K41" s="5">
        <f t="shared" si="3"/>
        <v>27780</v>
      </c>
      <c r="L41" s="5">
        <f t="shared" si="4"/>
        <v>20820</v>
      </c>
      <c r="M41" s="5"/>
      <c r="N41" s="5">
        <f t="shared" si="5"/>
        <v>48000</v>
      </c>
      <c r="O41" s="19"/>
      <c r="P41" s="19">
        <f>6017*$A$1</f>
        <v>36102</v>
      </c>
      <c r="Q41" s="19"/>
      <c r="R41" s="33">
        <v>125000</v>
      </c>
      <c r="S41" s="33"/>
      <c r="T41" s="33">
        <v>152700</v>
      </c>
      <c r="U41" s="5"/>
      <c r="V41" s="14">
        <f t="shared" si="9"/>
        <v>39231.199999999997</v>
      </c>
      <c r="W41" s="14">
        <f t="shared" si="10"/>
        <v>11769.359999999999</v>
      </c>
      <c r="X41" s="42">
        <f t="shared" si="14"/>
        <v>917292.55999999994</v>
      </c>
      <c r="Y41" s="77">
        <f>C41-X41</f>
        <v>1098883.98</v>
      </c>
      <c r="Z41" s="6"/>
      <c r="AA41" s="6"/>
      <c r="AB41" s="6"/>
    </row>
    <row r="42" spans="2:28" ht="11.25">
      <c r="B42" s="52" t="s">
        <v>13</v>
      </c>
      <c r="C42" s="65"/>
      <c r="D42" s="58"/>
      <c r="E42" s="5"/>
      <c r="F42" s="5"/>
      <c r="G42" s="5"/>
      <c r="H42" s="5"/>
      <c r="I42" s="5"/>
      <c r="J42" s="5"/>
      <c r="K42" s="5"/>
      <c r="L42" s="5"/>
      <c r="M42" s="5"/>
      <c r="N42" s="5"/>
      <c r="O42" s="19"/>
      <c r="P42" s="19"/>
      <c r="Q42" s="19"/>
      <c r="R42" s="33"/>
      <c r="S42" s="33"/>
      <c r="T42" s="33"/>
      <c r="U42" s="5"/>
      <c r="V42" s="14"/>
      <c r="W42" s="14"/>
      <c r="X42" s="42"/>
      <c r="Y42" s="77"/>
      <c r="Z42" s="6"/>
      <c r="AA42" s="6"/>
      <c r="AB42" s="6"/>
    </row>
    <row r="43" spans="2:28" ht="11.25">
      <c r="B43" s="49" t="s">
        <v>28</v>
      </c>
      <c r="C43" s="70">
        <f>1943972.54+(6017*12)</f>
        <v>2016176.54</v>
      </c>
      <c r="D43" s="58">
        <f t="shared" ref="D43:D44" si="17">(32369*4)+(33340*2)</f>
        <v>196156</v>
      </c>
      <c r="E43" s="5"/>
      <c r="F43" s="5"/>
      <c r="G43" s="5"/>
      <c r="H43" s="5">
        <f t="shared" si="0"/>
        <v>3744</v>
      </c>
      <c r="I43" s="5">
        <f t="shared" si="1"/>
        <v>186540</v>
      </c>
      <c r="J43" s="5">
        <f t="shared" si="2"/>
        <v>69450</v>
      </c>
      <c r="K43" s="5">
        <f t="shared" si="3"/>
        <v>27780</v>
      </c>
      <c r="L43" s="5">
        <f t="shared" si="4"/>
        <v>20820</v>
      </c>
      <c r="M43" s="5"/>
      <c r="N43" s="5">
        <f t="shared" si="5"/>
        <v>48000</v>
      </c>
      <c r="O43" s="19"/>
      <c r="P43" s="19">
        <f>6017*$A$1</f>
        <v>36102</v>
      </c>
      <c r="Q43" s="19"/>
      <c r="R43" s="33">
        <v>124999.99</v>
      </c>
      <c r="S43" s="33"/>
      <c r="T43" s="33">
        <v>152700</v>
      </c>
      <c r="U43" s="5"/>
      <c r="V43" s="14">
        <f t="shared" si="9"/>
        <v>39231.199999999997</v>
      </c>
      <c r="W43" s="14">
        <f t="shared" si="10"/>
        <v>11769.359999999999</v>
      </c>
      <c r="X43" s="14">
        <f t="shared" si="10"/>
        <v>11769.359999999999</v>
      </c>
      <c r="Y43" s="77">
        <f>C43-X43</f>
        <v>2004407.18</v>
      </c>
      <c r="Z43" s="6"/>
      <c r="AA43" s="6"/>
      <c r="AB43" s="6"/>
    </row>
    <row r="44" spans="2:28" ht="11.25">
      <c r="B44" s="49" t="s">
        <v>29</v>
      </c>
      <c r="C44" s="70">
        <f>1943972.54+(2663*12)+(1859*12)</f>
        <v>1998236.54</v>
      </c>
      <c r="D44" s="58">
        <f t="shared" si="17"/>
        <v>196156</v>
      </c>
      <c r="E44" s="5"/>
      <c r="F44" s="5"/>
      <c r="G44" s="5"/>
      <c r="H44" s="5">
        <f t="shared" si="0"/>
        <v>3744</v>
      </c>
      <c r="I44" s="5">
        <f t="shared" si="1"/>
        <v>186540</v>
      </c>
      <c r="J44" s="5">
        <f t="shared" si="2"/>
        <v>69450</v>
      </c>
      <c r="K44" s="5">
        <f t="shared" si="3"/>
        <v>27780</v>
      </c>
      <c r="L44" s="5">
        <f t="shared" si="4"/>
        <v>20820</v>
      </c>
      <c r="M44" s="5"/>
      <c r="N44" s="5">
        <f t="shared" si="5"/>
        <v>48000</v>
      </c>
      <c r="O44" s="19">
        <f>2663*$A$1</f>
        <v>15978</v>
      </c>
      <c r="P44" s="32"/>
      <c r="Q44" s="19">
        <f>1859*$A$1</f>
        <v>11154</v>
      </c>
      <c r="R44" s="33">
        <v>125000</v>
      </c>
      <c r="S44" s="33"/>
      <c r="T44" s="33">
        <v>152700</v>
      </c>
      <c r="U44" s="5"/>
      <c r="V44" s="14">
        <f t="shared" ref="V44" si="18">32369*0.2*4+(33340*0.2*2)</f>
        <v>39231.199999999997</v>
      </c>
      <c r="W44" s="14">
        <f t="shared" ref="W44" si="19">32369*0.06*4+(33340*0.06*2)</f>
        <v>11769.359999999999</v>
      </c>
      <c r="X44" s="42">
        <f t="shared" si="14"/>
        <v>908322.55999999994</v>
      </c>
      <c r="Y44" s="77">
        <f>C44-X44</f>
        <v>1089913.98</v>
      </c>
      <c r="Z44" s="6"/>
      <c r="AA44" s="6"/>
      <c r="AB44" s="6"/>
    </row>
    <row r="45" spans="2:28" ht="11.25">
      <c r="B45" s="53" t="s">
        <v>5</v>
      </c>
      <c r="C45" s="66"/>
      <c r="D45" s="58"/>
      <c r="E45" s="5"/>
      <c r="F45" s="5"/>
      <c r="G45" s="5"/>
      <c r="H45" s="5"/>
      <c r="I45" s="5"/>
      <c r="J45" s="5"/>
      <c r="K45" s="5"/>
      <c r="L45" s="5"/>
      <c r="M45" s="5"/>
      <c r="N45" s="5"/>
      <c r="O45" s="5"/>
      <c r="P45" s="5"/>
      <c r="Q45" s="5"/>
      <c r="R45" s="33"/>
      <c r="S45" s="33"/>
      <c r="T45" s="33"/>
      <c r="U45" s="5"/>
      <c r="V45" s="14"/>
      <c r="W45" s="14"/>
      <c r="X45" s="42"/>
      <c r="Y45" s="77"/>
      <c r="Z45" s="6"/>
      <c r="AA45" s="6"/>
      <c r="AB45" s="6"/>
    </row>
    <row r="46" spans="2:28" ht="11.25">
      <c r="B46" s="49" t="s">
        <v>35</v>
      </c>
      <c r="C46" s="70">
        <v>1943972.54</v>
      </c>
      <c r="D46" s="58">
        <f>(32369*4)+(33340*2)</f>
        <v>196156</v>
      </c>
      <c r="E46" s="5"/>
      <c r="F46" s="5"/>
      <c r="G46" s="5"/>
      <c r="H46" s="5">
        <f t="shared" si="0"/>
        <v>3744</v>
      </c>
      <c r="I46" s="5">
        <f t="shared" si="1"/>
        <v>186540</v>
      </c>
      <c r="J46" s="5">
        <f t="shared" si="2"/>
        <v>69450</v>
      </c>
      <c r="K46" s="5">
        <f t="shared" si="3"/>
        <v>27780</v>
      </c>
      <c r="L46" s="5">
        <f t="shared" si="4"/>
        <v>20820</v>
      </c>
      <c r="M46" s="5"/>
      <c r="N46" s="5">
        <f t="shared" si="5"/>
        <v>48000</v>
      </c>
      <c r="O46" s="5"/>
      <c r="P46" s="5"/>
      <c r="Q46" s="5"/>
      <c r="R46" s="33">
        <v>125000</v>
      </c>
      <c r="S46" s="33"/>
      <c r="T46" s="33">
        <f>144610+8000</f>
        <v>152610</v>
      </c>
      <c r="U46" s="5"/>
      <c r="V46" s="14">
        <f t="shared" ref="V46" si="20">32369*0.2*4+(33340*0.2*2)</f>
        <v>39231.199999999997</v>
      </c>
      <c r="W46" s="14">
        <f t="shared" ref="W46" si="21">32369*0.06*4+(33340*0.06*2)</f>
        <v>11769.359999999999</v>
      </c>
      <c r="X46" s="42">
        <f t="shared" si="14"/>
        <v>881100.55999999994</v>
      </c>
      <c r="Y46" s="77">
        <f>C46-X46</f>
        <v>1062871.98</v>
      </c>
      <c r="Z46" s="6"/>
      <c r="AA46" s="6"/>
      <c r="AB46" s="6"/>
    </row>
    <row r="47" spans="2:28" ht="11.25">
      <c r="B47" s="51" t="s">
        <v>8</v>
      </c>
      <c r="C47" s="64"/>
      <c r="D47" s="58"/>
      <c r="E47" s="5"/>
      <c r="F47" s="5"/>
      <c r="G47" s="5"/>
      <c r="H47" s="5"/>
      <c r="I47" s="5"/>
      <c r="J47" s="5"/>
      <c r="K47" s="5"/>
      <c r="L47" s="5"/>
      <c r="M47" s="5"/>
      <c r="N47" s="5"/>
      <c r="O47" s="5"/>
      <c r="P47" s="5"/>
      <c r="Q47" s="5"/>
      <c r="R47" s="33"/>
      <c r="S47" s="33"/>
      <c r="T47" s="33"/>
      <c r="U47" s="5"/>
      <c r="V47" s="14"/>
      <c r="W47" s="14"/>
      <c r="X47" s="42"/>
      <c r="Y47" s="77"/>
      <c r="Z47" s="6"/>
      <c r="AA47" s="6"/>
      <c r="AB47" s="6"/>
    </row>
    <row r="48" spans="2:28" ht="11.25">
      <c r="B48" s="49" t="s">
        <v>32</v>
      </c>
      <c r="C48" s="70">
        <v>1943972.54</v>
      </c>
      <c r="D48" s="58">
        <f>(32369*4)+(33340*2)</f>
        <v>196156</v>
      </c>
      <c r="E48" s="5"/>
      <c r="F48" s="5"/>
      <c r="G48" s="5"/>
      <c r="H48" s="5">
        <f t="shared" si="0"/>
        <v>3744</v>
      </c>
      <c r="I48" s="5">
        <f t="shared" si="1"/>
        <v>186540</v>
      </c>
      <c r="J48" s="5">
        <f t="shared" si="2"/>
        <v>69450</v>
      </c>
      <c r="K48" s="5">
        <f t="shared" si="3"/>
        <v>27780</v>
      </c>
      <c r="L48" s="5">
        <f t="shared" si="4"/>
        <v>20820</v>
      </c>
      <c r="M48" s="5"/>
      <c r="N48" s="5">
        <f t="shared" si="5"/>
        <v>48000</v>
      </c>
      <c r="O48" s="5"/>
      <c r="P48" s="5"/>
      <c r="Q48" s="5"/>
      <c r="R48" s="33">
        <v>8447.6299999999992</v>
      </c>
      <c r="S48" s="33"/>
      <c r="T48" s="33">
        <v>110820</v>
      </c>
      <c r="U48" s="5"/>
      <c r="V48" s="14">
        <f t="shared" ref="V48" si="22">32369*0.2*4+(33340*0.2*2)</f>
        <v>39231.199999999997</v>
      </c>
      <c r="W48" s="14">
        <f t="shared" ref="W48" si="23">32369*0.06*4+(33340*0.06*2)</f>
        <v>11769.359999999999</v>
      </c>
      <c r="X48" s="42">
        <f t="shared" si="14"/>
        <v>722758.19</v>
      </c>
      <c r="Y48" s="77">
        <f>C48-X48</f>
        <v>1221214.3500000001</v>
      </c>
      <c r="Z48" s="6"/>
      <c r="AA48" s="6"/>
      <c r="AB48" s="6"/>
    </row>
    <row r="49" spans="1:45" ht="11.25">
      <c r="B49" s="50" t="s">
        <v>12</v>
      </c>
      <c r="C49" s="63"/>
      <c r="D49" s="58"/>
      <c r="E49" s="5"/>
      <c r="F49" s="5"/>
      <c r="G49" s="5"/>
      <c r="H49" s="5"/>
      <c r="I49" s="5"/>
      <c r="J49" s="5"/>
      <c r="K49" s="5"/>
      <c r="L49" s="5"/>
      <c r="M49" s="5"/>
      <c r="N49" s="5"/>
      <c r="O49" s="5"/>
      <c r="P49" s="5"/>
      <c r="Q49" s="5"/>
      <c r="R49" s="33"/>
      <c r="S49" s="33"/>
      <c r="T49" s="33"/>
      <c r="U49" s="5"/>
      <c r="V49" s="14"/>
      <c r="W49" s="14"/>
      <c r="X49" s="42"/>
      <c r="Y49" s="77"/>
      <c r="Z49" s="6"/>
      <c r="AA49" s="6"/>
      <c r="AB49" s="6"/>
    </row>
    <row r="50" spans="1:45" ht="11.25">
      <c r="B50" s="49" t="s">
        <v>30</v>
      </c>
      <c r="C50" s="70">
        <v>1943972.54</v>
      </c>
      <c r="D50" s="58">
        <f>(32369*4)+(33340*2)</f>
        <v>196156</v>
      </c>
      <c r="E50" s="5"/>
      <c r="F50" s="5"/>
      <c r="G50" s="5"/>
      <c r="H50" s="5">
        <f t="shared" si="0"/>
        <v>3744</v>
      </c>
      <c r="I50" s="5">
        <f t="shared" si="1"/>
        <v>186540</v>
      </c>
      <c r="J50" s="5">
        <f t="shared" si="2"/>
        <v>69450</v>
      </c>
      <c r="K50" s="5">
        <f t="shared" si="3"/>
        <v>27780</v>
      </c>
      <c r="L50" s="5">
        <f t="shared" si="4"/>
        <v>20820</v>
      </c>
      <c r="M50" s="5"/>
      <c r="N50" s="5">
        <f t="shared" si="5"/>
        <v>48000</v>
      </c>
      <c r="O50" s="8"/>
      <c r="P50" s="8"/>
      <c r="Q50" s="8"/>
      <c r="R50" s="33">
        <v>125000</v>
      </c>
      <c r="S50" s="33"/>
      <c r="T50" s="33">
        <v>152540</v>
      </c>
      <c r="U50" s="16"/>
      <c r="V50" s="14">
        <f t="shared" ref="V50" si="24">32369*0.2*4+(33340*0.2*2)</f>
        <v>39231.199999999997</v>
      </c>
      <c r="W50" s="14">
        <f t="shared" ref="W50" si="25">32369*0.06*4+(33340*0.06*2)</f>
        <v>11769.359999999999</v>
      </c>
      <c r="X50" s="42">
        <f t="shared" si="14"/>
        <v>881030.55999999994</v>
      </c>
      <c r="Y50" s="77">
        <f>C50-X50</f>
        <v>1062941.98</v>
      </c>
    </row>
    <row r="51" spans="1:45">
      <c r="B51" s="54"/>
      <c r="C51" s="71"/>
      <c r="D51" s="15"/>
      <c r="E51" s="16"/>
      <c r="F51" s="16"/>
      <c r="G51" s="16"/>
      <c r="H51" s="16"/>
      <c r="I51" s="16"/>
      <c r="J51" s="16"/>
      <c r="K51" s="16"/>
      <c r="L51" s="16"/>
      <c r="M51" s="16"/>
      <c r="N51" s="16"/>
      <c r="O51" s="17"/>
      <c r="P51" s="17"/>
      <c r="Q51" s="17"/>
      <c r="R51" s="34"/>
      <c r="S51" s="34"/>
      <c r="T51" s="34"/>
      <c r="U51" s="28"/>
      <c r="V51" s="18"/>
      <c r="W51" s="18"/>
      <c r="X51" s="43"/>
      <c r="Y51" s="78"/>
    </row>
    <row r="52" spans="1:45" s="26" customFormat="1" ht="13.5" thickBot="1">
      <c r="A52" s="21"/>
      <c r="B52" s="27" t="s">
        <v>53</v>
      </c>
      <c r="C52" s="61">
        <f>SUM(D52:W52)</f>
        <v>29433239.649999999</v>
      </c>
      <c r="D52" s="28">
        <f>SUM(D10:D50)</f>
        <v>6473148</v>
      </c>
      <c r="E52" s="28">
        <f t="shared" ref="E52:L52" si="26">SUM(E10:E50)</f>
        <v>0</v>
      </c>
      <c r="F52" s="28">
        <f t="shared" si="26"/>
        <v>0</v>
      </c>
      <c r="G52" s="28">
        <f t="shared" si="26"/>
        <v>0</v>
      </c>
      <c r="H52" s="28">
        <f t="shared" si="26"/>
        <v>123552</v>
      </c>
      <c r="I52" s="28">
        <f t="shared" si="26"/>
        <v>6155820</v>
      </c>
      <c r="J52" s="28">
        <f t="shared" si="26"/>
        <v>2291850</v>
      </c>
      <c r="K52" s="28">
        <f t="shared" si="26"/>
        <v>916740</v>
      </c>
      <c r="L52" s="28">
        <f t="shared" si="26"/>
        <v>666240</v>
      </c>
      <c r="M52" s="28"/>
      <c r="N52" s="28">
        <f t="shared" ref="N52:X52" si="27">SUM(N10:N50)</f>
        <v>1584000</v>
      </c>
      <c r="O52" s="28">
        <f t="shared" si="27"/>
        <v>203868</v>
      </c>
      <c r="P52" s="28">
        <f t="shared" si="27"/>
        <v>541746</v>
      </c>
      <c r="Q52" s="28">
        <f t="shared" si="27"/>
        <v>167370</v>
      </c>
      <c r="R52" s="28">
        <f t="shared" si="27"/>
        <v>3912641.6700000004</v>
      </c>
      <c r="S52" s="28"/>
      <c r="T52" s="28">
        <f t="shared" si="27"/>
        <v>4713245.5</v>
      </c>
      <c r="U52" s="30"/>
      <c r="V52" s="28">
        <f t="shared" si="27"/>
        <v>1294629.5999999992</v>
      </c>
      <c r="W52" s="37">
        <f t="shared" si="27"/>
        <v>388388.87999999971</v>
      </c>
      <c r="X52" s="44">
        <f t="shared" si="27"/>
        <v>28527716.459999997</v>
      </c>
      <c r="Y52" s="79"/>
      <c r="Z52" s="25"/>
      <c r="AA52" s="25"/>
      <c r="AB52" s="25"/>
      <c r="AC52" s="25"/>
      <c r="AD52" s="25"/>
      <c r="AE52" s="25"/>
      <c r="AF52" s="25"/>
      <c r="AG52" s="25"/>
      <c r="AH52" s="25"/>
      <c r="AI52" s="25"/>
      <c r="AJ52" s="25"/>
      <c r="AK52" s="25"/>
      <c r="AL52" s="25"/>
      <c r="AM52" s="25"/>
      <c r="AN52" s="25"/>
      <c r="AO52" s="25"/>
      <c r="AP52" s="25"/>
      <c r="AQ52" s="25"/>
      <c r="AR52" s="25"/>
      <c r="AS52" s="25"/>
    </row>
    <row r="53" spans="1:45" s="29" customFormat="1" ht="14.25" thickTop="1" thickBot="1">
      <c r="B53" s="55" t="s">
        <v>52</v>
      </c>
      <c r="C53" s="67">
        <f t="shared" ref="C53:L53" si="28">C8-C52</f>
        <v>36903829.202</v>
      </c>
      <c r="D53" s="59">
        <f t="shared" si="28"/>
        <v>6985882.2000000011</v>
      </c>
      <c r="E53" s="30">
        <f t="shared" si="28"/>
        <v>1510607.8</v>
      </c>
      <c r="F53" s="30">
        <f t="shared" si="28"/>
        <v>747724</v>
      </c>
      <c r="G53" s="30">
        <f t="shared" si="28"/>
        <v>56100</v>
      </c>
      <c r="H53" s="30">
        <f t="shared" si="28"/>
        <v>123552</v>
      </c>
      <c r="I53" s="30">
        <f t="shared" si="28"/>
        <v>6155820</v>
      </c>
      <c r="J53" s="30">
        <f t="shared" si="28"/>
        <v>2291850</v>
      </c>
      <c r="K53" s="30">
        <f t="shared" si="28"/>
        <v>916740</v>
      </c>
      <c r="L53" s="30">
        <f t="shared" si="28"/>
        <v>707880</v>
      </c>
      <c r="M53" s="30"/>
      <c r="N53" s="30">
        <f t="shared" ref="N53:W53" si="29">N8-N52</f>
        <v>1584000</v>
      </c>
      <c r="O53" s="30">
        <f t="shared" si="29"/>
        <v>203875</v>
      </c>
      <c r="P53" s="30">
        <f t="shared" si="29"/>
        <v>541746</v>
      </c>
      <c r="Q53" s="30">
        <f t="shared" si="29"/>
        <v>167370</v>
      </c>
      <c r="R53" s="30">
        <f t="shared" si="29"/>
        <v>6347358.3300000001</v>
      </c>
      <c r="S53" s="30"/>
      <c r="T53" s="30">
        <f t="shared" si="29"/>
        <v>6746994.5</v>
      </c>
      <c r="U53" s="2"/>
      <c r="V53" s="30">
        <f t="shared" si="29"/>
        <v>1397176.4400000009</v>
      </c>
      <c r="W53" s="38">
        <f t="shared" si="29"/>
        <v>419152.9320000002</v>
      </c>
      <c r="X53" s="45"/>
      <c r="Y53" s="46">
        <f>C8-X52</f>
        <v>37809352.392000005</v>
      </c>
    </row>
    <row r="54" spans="1:45" ht="13.5" thickTop="1">
      <c r="B54" s="10" t="s">
        <v>59</v>
      </c>
      <c r="C54" s="2" t="s">
        <v>60</v>
      </c>
    </row>
    <row r="55" spans="1:45">
      <c r="B55" s="10" t="s">
        <v>66</v>
      </c>
      <c r="C55" s="2" t="s">
        <v>69</v>
      </c>
      <c r="T55" s="6"/>
    </row>
    <row r="56" spans="1:45">
      <c r="B56" s="10" t="s">
        <v>70</v>
      </c>
      <c r="C56" s="2" t="s">
        <v>71</v>
      </c>
    </row>
    <row r="57" spans="1:45">
      <c r="B57" s="10" t="s">
        <v>74</v>
      </c>
      <c r="C57" s="2" t="s">
        <v>75</v>
      </c>
    </row>
    <row r="58" spans="1:45">
      <c r="B58" s="10" t="s">
        <v>83</v>
      </c>
      <c r="C58" s="2" t="s">
        <v>88</v>
      </c>
    </row>
    <row r="59" spans="1:45">
      <c r="B59" s="10" t="s">
        <v>86</v>
      </c>
      <c r="C59" s="2" t="s">
        <v>89</v>
      </c>
      <c r="D59" s="6"/>
      <c r="E59" s="6"/>
      <c r="F59" s="6"/>
      <c r="G59" s="6"/>
      <c r="H59" s="6"/>
      <c r="I59" s="6"/>
      <c r="J59" s="6"/>
      <c r="K59" s="6"/>
      <c r="L59" s="6"/>
      <c r="M59" s="6"/>
      <c r="N59" s="6"/>
      <c r="O59" s="6"/>
      <c r="P59" s="6"/>
      <c r="Q59" s="6"/>
      <c r="R59" s="6"/>
      <c r="S59" s="6"/>
      <c r="T59" s="6"/>
      <c r="V59" s="6"/>
      <c r="W59" s="6"/>
    </row>
    <row r="60" spans="1:45">
      <c r="B60" s="10" t="s">
        <v>87</v>
      </c>
      <c r="C60" s="99" t="s">
        <v>96</v>
      </c>
    </row>
    <row r="61" spans="1:45">
      <c r="B61" s="10" t="s">
        <v>90</v>
      </c>
      <c r="C61" s="92" t="s">
        <v>91</v>
      </c>
      <c r="D61" s="6"/>
      <c r="E61" s="6"/>
      <c r="F61" s="6"/>
      <c r="G61" s="6"/>
      <c r="H61" s="6"/>
      <c r="I61" s="6"/>
      <c r="J61" s="6"/>
      <c r="K61" s="6"/>
      <c r="L61" s="6"/>
      <c r="M61" s="6"/>
      <c r="N61" s="6"/>
      <c r="O61" s="6"/>
      <c r="P61" s="6"/>
      <c r="Q61" s="6"/>
      <c r="R61" s="6"/>
      <c r="S61" s="6"/>
      <c r="T61" s="6"/>
      <c r="V61" s="6"/>
      <c r="W61" s="6"/>
      <c r="X61" s="6"/>
      <c r="Y61" s="6"/>
    </row>
    <row r="64" spans="1:45">
      <c r="B64" s="11"/>
      <c r="C64" s="73"/>
    </row>
    <row r="65" spans="2:3">
      <c r="B65" s="11"/>
      <c r="C65" s="73"/>
    </row>
    <row r="66" spans="2:3">
      <c r="B66" s="11"/>
      <c r="C66" s="73"/>
    </row>
    <row r="67" spans="2:3">
      <c r="B67" s="11"/>
      <c r="C67" s="73"/>
    </row>
    <row r="68" spans="2:3">
      <c r="B68" s="11"/>
      <c r="C68" s="73"/>
    </row>
    <row r="69" spans="2:3">
      <c r="B69" s="11"/>
      <c r="C69" s="73"/>
    </row>
    <row r="70" spans="2:3">
      <c r="B70" s="11"/>
      <c r="C70" s="73"/>
    </row>
    <row r="71" spans="2:3">
      <c r="B71" s="11"/>
      <c r="C71" s="73"/>
    </row>
    <row r="72" spans="2:3">
      <c r="B72" s="11"/>
      <c r="C72" s="73"/>
    </row>
    <row r="73" spans="2:3">
      <c r="B73" s="11"/>
      <c r="C73" s="73"/>
    </row>
    <row r="74" spans="2:3">
      <c r="B74" s="11"/>
      <c r="C74" s="73"/>
    </row>
    <row r="75" spans="2:3">
      <c r="B75" s="11"/>
      <c r="C75" s="73"/>
    </row>
    <row r="76" spans="2:3">
      <c r="B76" s="11"/>
      <c r="C76" s="73"/>
    </row>
    <row r="77" spans="2:3">
      <c r="B77" s="11"/>
      <c r="C77" s="73"/>
    </row>
    <row r="78" spans="2:3">
      <c r="B78" s="11"/>
      <c r="C78" s="73"/>
    </row>
    <row r="79" spans="2:3">
      <c r="B79" s="11"/>
      <c r="C79" s="73"/>
    </row>
    <row r="80" spans="2:3">
      <c r="B80" s="11"/>
      <c r="C80" s="73"/>
    </row>
    <row r="81" spans="2:3">
      <c r="B81" s="11"/>
      <c r="C81" s="73"/>
    </row>
    <row r="82" spans="2:3">
      <c r="B82" s="11"/>
      <c r="C82" s="73"/>
    </row>
    <row r="83" spans="2:3">
      <c r="B83" s="11"/>
      <c r="C83" s="73"/>
    </row>
    <row r="84" spans="2:3">
      <c r="B84" s="11"/>
      <c r="C84" s="73"/>
    </row>
    <row r="85" spans="2:3">
      <c r="B85" s="11"/>
      <c r="C85" s="73"/>
    </row>
    <row r="86" spans="2:3">
      <c r="B86" s="11"/>
      <c r="C86" s="73"/>
    </row>
    <row r="87" spans="2:3">
      <c r="B87" s="11"/>
      <c r="C87" s="73"/>
    </row>
    <row r="88" spans="2:3">
      <c r="B88" s="11"/>
      <c r="C88" s="73"/>
    </row>
    <row r="89" spans="2:3">
      <c r="B89" s="11"/>
      <c r="C89" s="73"/>
    </row>
    <row r="90" spans="2:3">
      <c r="B90" s="11"/>
      <c r="C90" s="73"/>
    </row>
  </sheetData>
  <mergeCells count="7">
    <mergeCell ref="B1:Z1"/>
    <mergeCell ref="B3:Z3"/>
    <mergeCell ref="B4:Z4"/>
    <mergeCell ref="B2:Z2"/>
    <mergeCell ref="D6:Q6"/>
    <mergeCell ref="R6:T6"/>
    <mergeCell ref="V6:W6"/>
  </mergeCells>
  <printOptions horizontalCentered="1"/>
  <pageMargins left="0.51181102362204722" right="0.31496062992125984" top="0.74803149606299213" bottom="0.74803149606299213" header="0.31496062992125984" footer="0.31496062992125984"/>
  <pageSetup paperSize="5"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7</vt:i4>
      </vt:variant>
    </vt:vector>
  </HeadingPairs>
  <TitlesOfParts>
    <vt:vector size="14" baseType="lpstr">
      <vt:lpstr>enero</vt:lpstr>
      <vt:lpstr>feb</vt:lpstr>
      <vt:lpstr>marzo</vt:lpstr>
      <vt:lpstr>abril</vt:lpstr>
      <vt:lpstr>MAYO</vt:lpstr>
      <vt:lpstr>JUNIO</vt:lpstr>
      <vt:lpstr>PPTO ACUM A JUNIO</vt:lpstr>
      <vt:lpstr>abril!Área_de_impresión</vt:lpstr>
      <vt:lpstr>enero!Área_de_impresión</vt:lpstr>
      <vt:lpstr>feb!Área_de_impresión</vt:lpstr>
      <vt:lpstr>JUNIO!Área_de_impresión</vt:lpstr>
      <vt:lpstr>marzo!Área_de_impresión</vt:lpstr>
      <vt:lpstr>MAYO!Área_de_impresión</vt:lpstr>
      <vt:lpstr>'PPTO ACUM A JUNIO'!Área_de_impresión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jfuentecilla</cp:lastModifiedBy>
  <cp:lastPrinted>2017-06-30T23:41:24Z</cp:lastPrinted>
  <dcterms:created xsi:type="dcterms:W3CDTF">2002-03-04T18:32:44Z</dcterms:created>
  <dcterms:modified xsi:type="dcterms:W3CDTF">2017-07-01T01:37:12Z</dcterms:modified>
</cp:coreProperties>
</file>